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
    </mc:Choice>
  </mc:AlternateContent>
  <xr:revisionPtr revIDLastSave="0" documentId="8_{2E849B49-B31D-42D9-BED1-CD0FB00BD016}" xr6:coauthVersionLast="45" xr6:coauthVersionMax="45" xr10:uidLastSave="{00000000-0000-0000-0000-000000000000}"/>
  <workbookProtection workbookAlgorithmName="SHA-512" workbookHashValue="mHtvfTAenGJqZhYxkFOHP8U54FHexFyP8MbyO8pyz0VfmC1xsxCucKzGJb/PjhTakgyRI8ddiA+Bq85y9gSJ9A==" workbookSaltValue="rgiEKsvp56hWc5zuxdsowQ==" workbookSpinCount="100000" lockStructure="1"/>
  <bookViews>
    <workbookView xWindow="-120" yWindow="-120" windowWidth="29040" windowHeight="15840" activeTab="1" xr2:uid="{00000000-000D-0000-FFFF-FFFF00000000}"/>
  </bookViews>
  <sheets>
    <sheet name="Introduction" sheetId="5" r:id="rId1"/>
    <sheet name="Input Site Information" sheetId="7" r:id="rId2"/>
    <sheet name="Indicative Charges" sheetId="8" r:id="rId3"/>
    <sheet name="Sheet3" sheetId="9" state="hidden" r:id="rId4"/>
    <sheet name="Post April 2018 - Water" sheetId="1" state="hidden" r:id="rId5"/>
    <sheet name="Post April 2018 - Sewerage" sheetId="6" state="hidden" r:id="rId6"/>
    <sheet name="Tariffs" sheetId="2" state="hidden"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 l="1"/>
  <c r="E9" i="2"/>
  <c r="E8" i="2"/>
  <c r="D9" i="2"/>
  <c r="D8" i="2"/>
  <c r="G13" i="2"/>
  <c r="E13" i="2"/>
  <c r="C64" i="6" l="1"/>
  <c r="D64" i="6" s="1"/>
  <c r="C63" i="6"/>
  <c r="D63" i="6" s="1"/>
  <c r="C62" i="6"/>
  <c r="D62" i="6" s="1"/>
  <c r="C61" i="6"/>
  <c r="D61" i="6" s="1"/>
  <c r="C60" i="6"/>
  <c r="D60" i="6" s="1"/>
  <c r="C59" i="6"/>
  <c r="D59" i="6" s="1"/>
  <c r="C58" i="6"/>
  <c r="D58" i="6" s="1"/>
  <c r="C57" i="6"/>
  <c r="D57" i="6" s="1"/>
  <c r="C56" i="6"/>
  <c r="D56" i="6" s="1"/>
  <c r="C55" i="6"/>
  <c r="D55" i="6" s="1"/>
  <c r="C54" i="6"/>
  <c r="D54" i="6" s="1"/>
  <c r="C53" i="6"/>
  <c r="D53" i="6" s="1"/>
  <c r="C52" i="6"/>
  <c r="D52" i="6" s="1"/>
  <c r="C51" i="6"/>
  <c r="D51" i="6" s="1"/>
  <c r="C50" i="6"/>
  <c r="D50" i="6" s="1"/>
  <c r="C39" i="6" l="1"/>
  <c r="C38" i="6"/>
  <c r="G15" i="2"/>
  <c r="E15" i="2"/>
  <c r="D15" i="2"/>
  <c r="C51" i="2" l="1"/>
  <c r="B51" i="2"/>
  <c r="C50" i="2"/>
  <c r="B50" i="2"/>
  <c r="C49" i="2"/>
  <c r="B49" i="2"/>
  <c r="C48" i="2"/>
  <c r="B48" i="2"/>
  <c r="C47" i="2"/>
  <c r="B47" i="2"/>
  <c r="C46" i="2"/>
  <c r="B46" i="2"/>
  <c r="C43" i="2"/>
  <c r="B43" i="2"/>
  <c r="C42" i="2"/>
  <c r="B42" i="2"/>
  <c r="C41" i="2"/>
  <c r="B41" i="2"/>
  <c r="C40" i="2"/>
  <c r="B40" i="2"/>
  <c r="C39" i="2"/>
  <c r="B39" i="2"/>
  <c r="C38" i="2"/>
  <c r="B38" i="2"/>
  <c r="C37" i="2"/>
  <c r="B37" i="2"/>
  <c r="C36" i="2"/>
  <c r="B36" i="2"/>
  <c r="C35" i="2"/>
  <c r="B35" i="2"/>
  <c r="C34" i="2"/>
  <c r="B34" i="2"/>
  <c r="C33" i="2"/>
  <c r="B33" i="2"/>
  <c r="C32" i="2"/>
  <c r="B32" i="2"/>
  <c r="C31" i="2"/>
  <c r="B31" i="2"/>
  <c r="C30" i="2"/>
  <c r="B30" i="2"/>
  <c r="C29" i="2"/>
  <c r="B29" i="2"/>
  <c r="H25" i="2" l="1"/>
  <c r="G25" i="2"/>
  <c r="E25" i="2"/>
  <c r="B25" i="2"/>
  <c r="G21" i="2"/>
  <c r="G20" i="2"/>
  <c r="E21" i="2"/>
  <c r="E20" i="2"/>
  <c r="D21" i="2"/>
  <c r="D20" i="2"/>
  <c r="B21" i="2"/>
  <c r="B20" i="2"/>
  <c r="H13" i="2"/>
  <c r="D13" i="2"/>
  <c r="C13" i="2"/>
  <c r="B13" i="2"/>
  <c r="G9" i="2"/>
  <c r="G8" i="2"/>
  <c r="C9" i="2"/>
  <c r="C8" i="2"/>
  <c r="B9" i="2"/>
  <c r="B8" i="2"/>
  <c r="E24" i="6" l="1"/>
  <c r="E21" i="6"/>
  <c r="E26" i="6" s="1"/>
  <c r="C7" i="1" l="1"/>
  <c r="D33" i="6"/>
  <c r="E20" i="6"/>
  <c r="E25" i="6" s="1"/>
  <c r="C7" i="6"/>
  <c r="C4" i="6"/>
  <c r="C58" i="1"/>
  <c r="C57" i="1"/>
  <c r="C56" i="1"/>
  <c r="C55" i="1"/>
  <c r="C54" i="1"/>
  <c r="C53" i="1"/>
  <c r="D36" i="1"/>
  <c r="C8" i="1"/>
  <c r="C4" i="1"/>
  <c r="C3" i="6"/>
  <c r="C3" i="1"/>
  <c r="C42" i="1" l="1"/>
  <c r="C30" i="1"/>
  <c r="C27" i="6"/>
  <c r="C26" i="6"/>
  <c r="F26" i="6" s="1"/>
  <c r="C6" i="6"/>
  <c r="D19" i="6" s="1"/>
  <c r="D41" i="1" l="1"/>
  <c r="D40" i="1"/>
  <c r="D39" i="6"/>
  <c r="D38" i="6"/>
  <c r="F38" i="6" s="1"/>
  <c r="D37" i="6"/>
  <c r="C37" i="6"/>
  <c r="F37" i="6" l="1"/>
  <c r="F39" i="6"/>
  <c r="C41" i="8"/>
  <c r="C12" i="6"/>
  <c r="E12" i="6"/>
  <c r="E15" i="1" l="1"/>
  <c r="E14" i="1"/>
  <c r="C33" i="6" l="1"/>
  <c r="C25" i="6"/>
  <c r="C24" i="6"/>
  <c r="C21" i="6"/>
  <c r="C20" i="6"/>
  <c r="D27" i="6"/>
  <c r="C19" i="6"/>
  <c r="I64" i="6"/>
  <c r="I63" i="6"/>
  <c r="I62" i="6"/>
  <c r="I61" i="6"/>
  <c r="I60" i="6"/>
  <c r="I59" i="6"/>
  <c r="I58" i="6"/>
  <c r="I57" i="6"/>
  <c r="I56" i="6"/>
  <c r="I55" i="6"/>
  <c r="I54" i="6"/>
  <c r="I53" i="6"/>
  <c r="I52" i="6"/>
  <c r="I51" i="6"/>
  <c r="I50" i="6"/>
  <c r="D45" i="6"/>
  <c r="F13" i="6"/>
  <c r="D24" i="1"/>
  <c r="F20" i="6" l="1"/>
  <c r="C35" i="8" s="1"/>
  <c r="F25" i="6"/>
  <c r="I65" i="6"/>
  <c r="F12" i="6"/>
  <c r="F15" i="6" s="1"/>
  <c r="F33" i="6"/>
  <c r="C33" i="8" s="1"/>
  <c r="F27" i="6"/>
  <c r="F19" i="6"/>
  <c r="C31" i="8" s="1"/>
  <c r="C39" i="8" l="1"/>
  <c r="F34" i="6"/>
  <c r="C37" i="8" s="1"/>
  <c r="C15" i="1"/>
  <c r="C14" i="1"/>
  <c r="F14" i="1" s="1"/>
  <c r="C13" i="1"/>
  <c r="F13" i="1" s="1"/>
  <c r="F16" i="1"/>
  <c r="F41" i="6" l="1"/>
  <c r="F43" i="6" s="1"/>
  <c r="F15" i="1"/>
  <c r="F19" i="1" s="1"/>
  <c r="I58" i="1" l="1"/>
  <c r="I57" i="1"/>
  <c r="I56" i="1"/>
  <c r="I55" i="1"/>
  <c r="I54" i="1"/>
  <c r="I53" i="1" l="1"/>
  <c r="I59" i="1" s="1"/>
  <c r="F37" i="1" s="1"/>
  <c r="C23" i="8" s="1"/>
  <c r="D42" i="1"/>
  <c r="E37" i="1"/>
  <c r="C41" i="1"/>
  <c r="F41" i="1" s="1"/>
  <c r="C40" i="1"/>
  <c r="F40" i="1" s="1"/>
  <c r="C36" i="1"/>
  <c r="F36" i="1" s="1"/>
  <c r="C19" i="8" s="1"/>
  <c r="D49" i="1"/>
  <c r="C24" i="1"/>
  <c r="C25" i="1"/>
  <c r="C28" i="1"/>
  <c r="C29" i="1"/>
  <c r="I13" i="2"/>
  <c r="E29" i="1"/>
  <c r="E28" i="1"/>
  <c r="E25" i="1"/>
  <c r="D30" i="1"/>
  <c r="F42" i="1" l="1"/>
  <c r="C27" i="8" s="1"/>
  <c r="F25" i="1"/>
  <c r="C21" i="8" s="1"/>
  <c r="F28" i="1"/>
  <c r="F30" i="1"/>
  <c r="F29" i="1"/>
  <c r="F24" i="1"/>
  <c r="C17" i="8" s="1"/>
  <c r="C25" i="8" l="1"/>
  <c r="C13" i="8" s="1"/>
  <c r="F44" i="1"/>
  <c r="F47" i="1" s="1"/>
</calcChain>
</file>

<file path=xl/sharedStrings.xml><?xml version="1.0" encoding="utf-8"?>
<sst xmlns="http://schemas.openxmlformats.org/spreadsheetml/2006/main" count="322" uniqueCount="178">
  <si>
    <t>NAV Charges Model</t>
  </si>
  <si>
    <t>Region</t>
  </si>
  <si>
    <t>North</t>
  </si>
  <si>
    <t>South</t>
  </si>
  <si>
    <t>Volumetric</t>
  </si>
  <si>
    <t>Fixed</t>
  </si>
  <si>
    <t>Tariff</t>
  </si>
  <si>
    <t>Charge</t>
  </si>
  <si>
    <t>Deductions:</t>
  </si>
  <si>
    <t>Avoided Capital Replacement Costs</t>
  </si>
  <si>
    <t>Avoided Operating Costs</t>
  </si>
  <si>
    <t>Deductions</t>
  </si>
  <si>
    <t>Operating Costs</t>
  </si>
  <si>
    <t>Capital Replacement</t>
  </si>
  <si>
    <t>Leakage</t>
  </si>
  <si>
    <t>Average m3</t>
  </si>
  <si>
    <t>Volume</t>
  </si>
  <si>
    <t>Properties</t>
  </si>
  <si>
    <t>Net Water Charges</t>
  </si>
  <si>
    <t>Sewerage Charges</t>
  </si>
  <si>
    <t>Water Charges</t>
  </si>
  <si>
    <t>Water</t>
  </si>
  <si>
    <t>Sewerage</t>
  </si>
  <si>
    <t>Fixed - Surface Water Drainage</t>
  </si>
  <si>
    <t>Fixed - No Surface Water Drainage</t>
  </si>
  <si>
    <t>Fixed - Foul Only</t>
  </si>
  <si>
    <t>Fixed - Inc SWD</t>
  </si>
  <si>
    <t>Net Sewerage Charges</t>
  </si>
  <si>
    <t>Total Net Charges</t>
  </si>
  <si>
    <t>HOUSEHOLD</t>
  </si>
  <si>
    <t>NON-HOUSEHOLD</t>
  </si>
  <si>
    <t>Number of Non-Households</t>
  </si>
  <si>
    <t>Non-Household Surface Area</t>
  </si>
  <si>
    <r>
      <t>Band 1 -  up to 350 m</t>
    </r>
    <r>
      <rPr>
        <vertAlign val="superscript"/>
        <sz val="9"/>
        <color theme="1"/>
        <rFont val="Arial"/>
        <family val="2"/>
      </rPr>
      <t>2</t>
    </r>
  </si>
  <si>
    <r>
      <t>Band 2 -  351 to 750 m</t>
    </r>
    <r>
      <rPr>
        <vertAlign val="superscript"/>
        <sz val="9"/>
        <color theme="1"/>
        <rFont val="Arial"/>
        <family val="2"/>
      </rPr>
      <t>2</t>
    </r>
  </si>
  <si>
    <r>
      <t>Band 3 -  751 to 1,500 m</t>
    </r>
    <r>
      <rPr>
        <vertAlign val="superscript"/>
        <sz val="9"/>
        <color theme="1"/>
        <rFont val="Arial"/>
        <family val="2"/>
      </rPr>
      <t>2</t>
    </r>
  </si>
  <si>
    <r>
      <t>Band 4 -  1,501 to 2,500 m</t>
    </r>
    <r>
      <rPr>
        <vertAlign val="superscript"/>
        <sz val="9"/>
        <color theme="1"/>
        <rFont val="Arial"/>
        <family val="2"/>
      </rPr>
      <t>2</t>
    </r>
  </si>
  <si>
    <r>
      <t>Band 5 -  2,501 to 5,000 m</t>
    </r>
    <r>
      <rPr>
        <vertAlign val="superscript"/>
        <sz val="9"/>
        <color theme="1"/>
        <rFont val="Arial"/>
        <family val="2"/>
      </rPr>
      <t>2</t>
    </r>
  </si>
  <si>
    <r>
      <t>Band 6 -  5,001 to 7,500 m</t>
    </r>
    <r>
      <rPr>
        <vertAlign val="superscript"/>
        <sz val="9"/>
        <color theme="1"/>
        <rFont val="Arial"/>
        <family val="2"/>
      </rPr>
      <t>2</t>
    </r>
  </si>
  <si>
    <r>
      <t>Band 7 -  7,501 to 10,000 m</t>
    </r>
    <r>
      <rPr>
        <vertAlign val="superscript"/>
        <sz val="9"/>
        <color theme="1"/>
        <rFont val="Arial"/>
        <family val="2"/>
      </rPr>
      <t>2</t>
    </r>
  </si>
  <si>
    <r>
      <t>Band 8 -  10,001 to 15,000 m</t>
    </r>
    <r>
      <rPr>
        <vertAlign val="superscript"/>
        <sz val="9"/>
        <color theme="1"/>
        <rFont val="Arial"/>
        <family val="2"/>
      </rPr>
      <t>2</t>
    </r>
  </si>
  <si>
    <r>
      <t>Band 9 -  15,001 to 25,000 m</t>
    </r>
    <r>
      <rPr>
        <vertAlign val="superscript"/>
        <sz val="9"/>
        <color theme="1"/>
        <rFont val="Arial"/>
        <family val="2"/>
      </rPr>
      <t>2</t>
    </r>
  </si>
  <si>
    <r>
      <t>Band 10  -  25,001 to 50,000 m</t>
    </r>
    <r>
      <rPr>
        <vertAlign val="superscript"/>
        <sz val="9"/>
        <color theme="1"/>
        <rFont val="Arial"/>
        <family val="2"/>
      </rPr>
      <t>2</t>
    </r>
  </si>
  <si>
    <r>
      <t>Band 11 -  50,001 to 75,000 m</t>
    </r>
    <r>
      <rPr>
        <vertAlign val="superscript"/>
        <sz val="9"/>
        <color theme="1"/>
        <rFont val="Arial"/>
        <family val="2"/>
      </rPr>
      <t>2</t>
    </r>
  </si>
  <si>
    <r>
      <t>Band 12  -  75,001 to 100,000 m</t>
    </r>
    <r>
      <rPr>
        <vertAlign val="superscript"/>
        <sz val="9"/>
        <color theme="1"/>
        <rFont val="Arial"/>
        <family val="2"/>
      </rPr>
      <t>2</t>
    </r>
  </si>
  <si>
    <r>
      <t>Band 13 -  100,001 to 125,000 m</t>
    </r>
    <r>
      <rPr>
        <vertAlign val="superscript"/>
        <sz val="9"/>
        <color theme="1"/>
        <rFont val="Arial"/>
        <family val="2"/>
      </rPr>
      <t>2</t>
    </r>
  </si>
  <si>
    <r>
      <t>Band 14 -  125,001 to 150,000 m</t>
    </r>
    <r>
      <rPr>
        <vertAlign val="superscript"/>
        <sz val="9"/>
        <color theme="1"/>
        <rFont val="Arial"/>
        <family val="2"/>
      </rPr>
      <t>2</t>
    </r>
  </si>
  <si>
    <r>
      <t>Band 15  -  over 150,000 m</t>
    </r>
    <r>
      <rPr>
        <vertAlign val="superscript"/>
        <sz val="9"/>
        <color theme="1"/>
        <rFont val="Arial"/>
        <family val="2"/>
      </rPr>
      <t>2</t>
    </r>
  </si>
  <si>
    <t>Property Numbers</t>
  </si>
  <si>
    <t>SWD</t>
  </si>
  <si>
    <t>No SWD</t>
  </si>
  <si>
    <t>Surface Water Drainage Charges</t>
  </si>
  <si>
    <t>Full Drainage</t>
  </si>
  <si>
    <t>Band 1</t>
  </si>
  <si>
    <t>Band 2</t>
  </si>
  <si>
    <t>Band 3</t>
  </si>
  <si>
    <t>Band 4</t>
  </si>
  <si>
    <t>Band 5</t>
  </si>
  <si>
    <t>Band 6</t>
  </si>
  <si>
    <t>Band 7</t>
  </si>
  <si>
    <t>Band 8</t>
  </si>
  <si>
    <t>Band 9</t>
  </si>
  <si>
    <t>Band 10</t>
  </si>
  <si>
    <t>Band 11</t>
  </si>
  <si>
    <t>Band 12</t>
  </si>
  <si>
    <t>Band 13</t>
  </si>
  <si>
    <t>Band 14</t>
  </si>
  <si>
    <t>Band 15</t>
  </si>
  <si>
    <t>Columns to be hidden</t>
  </si>
  <si>
    <t>Fixed Charges - Surface Water Drainage / Highway Drainage</t>
  </si>
  <si>
    <t>Meter Sizes</t>
  </si>
  <si>
    <t>1-24mm</t>
  </si>
  <si>
    <t>25-34mm</t>
  </si>
  <si>
    <t>35-39mm</t>
  </si>
  <si>
    <t>40-49mm</t>
  </si>
  <si>
    <t>50-64mm</t>
  </si>
  <si>
    <t>65mm and larger</t>
  </si>
  <si>
    <t>Additional NHH Property Information</t>
  </si>
  <si>
    <t>DEVELOPER SERVICES</t>
  </si>
  <si>
    <t>POC Enquiry</t>
  </si>
  <si>
    <t>Income Offset</t>
  </si>
  <si>
    <t>Infrastructure Charges</t>
  </si>
  <si>
    <t>Water Point of Connection enquiry - per application</t>
  </si>
  <si>
    <t>Water Infrastructure Charge - per house</t>
  </si>
  <si>
    <t>Developer Services</t>
  </si>
  <si>
    <t>Developer Services Net Charges</t>
  </si>
  <si>
    <t>Total Household Consumption</t>
  </si>
  <si>
    <t>Maximum Income Offset - per house</t>
  </si>
  <si>
    <t xml:space="preserve">Water Efficiency Incentives - zero infrastructure charge. </t>
  </si>
  <si>
    <t>- optional</t>
  </si>
  <si>
    <t>Total Number of Households</t>
  </si>
  <si>
    <t>Total Number of Non-Households</t>
  </si>
  <si>
    <t>Non-Households in year</t>
  </si>
  <si>
    <t>Point of Enquiry Applications</t>
  </si>
  <si>
    <t>NAV Charging Estimator - Post April 2018 Agreements</t>
  </si>
  <si>
    <t>Households connected in year</t>
  </si>
  <si>
    <t xml:space="preserve">Northumbrian Water Limited, trading as Northumbrian Water (NW) in the North East of England and Essex &amp; Suffolk Water (ESW) in the South East of England, provides wholesale bulk supply and discharge services for our NAVs.  Further information regarding our area of supply can be found on our website https://www.nwl.co.uk/services/wholesale-services/area-of-supply/ </t>
  </si>
  <si>
    <t xml:space="preserve">This calculator is intended to allow a NAV to estimate bulk wholesale charges for our water and wastewater services for new sites in our NW area (WASC) and water for new sites in our ESW area (WOC) based on the current year's NAV tariffs that can be found on our website https://www.nwl.co.uk/services/wholesale-services/navs/bulk-charges-for-navs/  </t>
  </si>
  <si>
    <t xml:space="preserve">This calculator provides indicative costs and does not constitute any part of a formal offer.  Actual charges may differ.  All tariffs are correct at the time of publication for the regulatory year.  Fixed tariffs assume a full year's charge.  </t>
  </si>
  <si>
    <t xml:space="preserve">If you would like further information with respect to using this calculator please contact your Wholesale Account Manager or email wholesale@nwl.co.uk </t>
  </si>
  <si>
    <t>Service Required</t>
  </si>
  <si>
    <t>Will the site's surface water drainage be connect to NW sewers?</t>
  </si>
  <si>
    <t>Number of household premises</t>
  </si>
  <si>
    <t>Number of non-household premises connected by surface area</t>
  </si>
  <si>
    <t>Band 1 -  up to 350 m2</t>
  </si>
  <si>
    <t>Band 2 -  351 to 750 m2</t>
  </si>
  <si>
    <t>Band 3 -  751 to 1,500 m2</t>
  </si>
  <si>
    <t>Band 4 -  1,501 to 2,500 m2</t>
  </si>
  <si>
    <t>Band 5 -  2,501 to 5,000 m2</t>
  </si>
  <si>
    <t>Band 6 -  5,001 to 7,500 m2</t>
  </si>
  <si>
    <t>Band 7 -  7,501 to 10,000 m2</t>
  </si>
  <si>
    <t>Band 8 -  10,001 to 15,000 m2</t>
  </si>
  <si>
    <t>Band 9 -  15,001 to 25,000 m2</t>
  </si>
  <si>
    <t>Band 10  -  25,001 to 50,000 m2</t>
  </si>
  <si>
    <t>Band 11 -  50,001 to 75,000 m2</t>
  </si>
  <si>
    <t>Band 12  -  75,001 to 100,000 m2</t>
  </si>
  <si>
    <t>Band 13 -  100,001 to 125,000 m2</t>
  </si>
  <si>
    <t>Band 14 -  125,001 to 150,000 m2</t>
  </si>
  <si>
    <t>Band 15  -  over 150,000 m2</t>
  </si>
  <si>
    <r>
      <t xml:space="preserve">Please input </t>
    </r>
    <r>
      <rPr>
        <b/>
        <sz val="11"/>
        <color theme="1"/>
        <rFont val="Calibri"/>
        <family val="2"/>
        <scheme val="minor"/>
      </rPr>
      <t>NW</t>
    </r>
    <r>
      <rPr>
        <sz val="11"/>
        <color theme="1"/>
        <rFont val="Calibri"/>
        <family val="2"/>
        <scheme val="minor"/>
      </rPr>
      <t xml:space="preserve"> for Northumbrian Water or </t>
    </r>
    <r>
      <rPr>
        <b/>
        <sz val="11"/>
        <color theme="1"/>
        <rFont val="Calibri"/>
        <family val="2"/>
        <scheme val="minor"/>
      </rPr>
      <t>ESW</t>
    </r>
    <r>
      <rPr>
        <sz val="11"/>
        <color theme="1"/>
        <rFont val="Calibri"/>
        <family val="2"/>
        <scheme val="minor"/>
      </rPr>
      <t xml:space="preserve"> for Essex &amp; Suffolk Water</t>
    </r>
  </si>
  <si>
    <t xml:space="preserve">We are currently developing our online calculator to also include infrastructure charge information and indicative costs for off-site contestable works.  This information is currently available in our Developer Services Charging Arrangements that can be found on our website https://www.nwl.co.uk/services/developers/our-charges/ </t>
  </si>
  <si>
    <t>Site information required for an indicative cost</t>
  </si>
  <si>
    <r>
      <t xml:space="preserve">Please input </t>
    </r>
    <r>
      <rPr>
        <b/>
        <sz val="11"/>
        <color theme="1"/>
        <rFont val="Calibri"/>
        <family val="2"/>
        <scheme val="minor"/>
      </rPr>
      <t>W</t>
    </r>
    <r>
      <rPr>
        <sz val="11"/>
        <color theme="1"/>
        <rFont val="Calibri"/>
        <family val="2"/>
        <scheme val="minor"/>
      </rPr>
      <t xml:space="preserve"> for a bulk supply (in our ESW region we are a water only company this will be the default option).  Please input </t>
    </r>
    <r>
      <rPr>
        <b/>
        <sz val="11"/>
        <color theme="1"/>
        <rFont val="Calibri"/>
        <family val="2"/>
        <scheme val="minor"/>
      </rPr>
      <t>S i</t>
    </r>
    <r>
      <rPr>
        <sz val="11"/>
        <color theme="1"/>
        <rFont val="Calibri"/>
        <family val="2"/>
        <scheme val="minor"/>
      </rPr>
      <t xml:space="preserve">f only a bulk discharge is required in our NW region.  Please input </t>
    </r>
    <r>
      <rPr>
        <b/>
        <sz val="11"/>
        <color theme="1"/>
        <rFont val="Calibri"/>
        <family val="2"/>
        <scheme val="minor"/>
      </rPr>
      <t>C</t>
    </r>
    <r>
      <rPr>
        <sz val="11"/>
        <color theme="1"/>
        <rFont val="Calibri"/>
        <family val="2"/>
        <scheme val="minor"/>
      </rPr>
      <t xml:space="preserve"> if a bulk supply and a bulk discharge is required in our NW region.</t>
    </r>
  </si>
  <si>
    <r>
      <t xml:space="preserve">Please input </t>
    </r>
    <r>
      <rPr>
        <b/>
        <sz val="11"/>
        <color theme="1"/>
        <rFont val="Calibri"/>
        <family val="2"/>
        <scheme val="minor"/>
      </rPr>
      <t>Y</t>
    </r>
    <r>
      <rPr>
        <sz val="11"/>
        <color theme="1"/>
        <rFont val="Calibri"/>
        <family val="2"/>
        <scheme val="minor"/>
      </rPr>
      <t xml:space="preserve"> for yes or </t>
    </r>
    <r>
      <rPr>
        <b/>
        <sz val="11"/>
        <color theme="1"/>
        <rFont val="Calibri"/>
        <family val="2"/>
        <scheme val="minor"/>
      </rPr>
      <t>N</t>
    </r>
    <r>
      <rPr>
        <sz val="11"/>
        <color theme="1"/>
        <rFont val="Calibri"/>
        <family val="2"/>
        <scheme val="minor"/>
      </rPr>
      <t xml:space="preserve"> for no.</t>
    </r>
  </si>
  <si>
    <r>
      <t>m</t>
    </r>
    <r>
      <rPr>
        <b/>
        <sz val="11"/>
        <color theme="1"/>
        <rFont val="Calibri"/>
        <family val="2"/>
      </rPr>
      <t>³</t>
    </r>
  </si>
  <si>
    <t xml:space="preserve">Estimated household site consumption </t>
  </si>
  <si>
    <t>Please input the annual estimated volumetric water consumption in cubic metres</t>
  </si>
  <si>
    <t xml:space="preserve">Estimated non-household site consumption </t>
  </si>
  <si>
    <t>HOUSEHOLDS</t>
  </si>
  <si>
    <t>NON-HOUSEHOLDS</t>
  </si>
  <si>
    <t xml:space="preserve">Please input the number of households to be built </t>
  </si>
  <si>
    <t xml:space="preserve">Please input the number of non-household premise to be built as a total for each connection size banding </t>
  </si>
  <si>
    <t>Number of non-household premises connected by water supply connection size</t>
  </si>
  <si>
    <t xml:space="preserve">Please input the number of non-household premise to be built as a total for each surface area banding </t>
  </si>
  <si>
    <t>Under construction</t>
  </si>
  <si>
    <t>Off-site contestable works indicative costs</t>
  </si>
  <si>
    <t>Total estimated bulk charge</t>
  </si>
  <si>
    <t>Our estimate of your site's indicative bulk charges upon completion</t>
  </si>
  <si>
    <t>per annum</t>
  </si>
  <si>
    <t>HH Consumption</t>
  </si>
  <si>
    <t>Calculation</t>
  </si>
  <si>
    <t>HH Water Charges</t>
  </si>
  <si>
    <t>2,547 x £1.0268 =</t>
  </si>
  <si>
    <t>Fixed Charges</t>
  </si>
  <si>
    <t>250 x 31/365 x -£7.43 =</t>
  </si>
  <si>
    <t>Total HH Water Charges</t>
  </si>
  <si>
    <t>NHH Consumption</t>
  </si>
  <si>
    <t>200+250+550 =</t>
  </si>
  <si>
    <t>1,000 m3</t>
  </si>
  <si>
    <t>NHH Water Charges</t>
  </si>
  <si>
    <t>1,000 x £0.7440 =</t>
  </si>
  <si>
    <t>NHH Fixed Charges</t>
  </si>
  <si>
    <t>1 x £33.00 + 2 x £19.60 x 31/365 =</t>
  </si>
  <si>
    <t>Total NHH Water Charges</t>
  </si>
  <si>
    <t>Total Water Charges</t>
  </si>
  <si>
    <t>Breakdown of charges for bulk supply</t>
  </si>
  <si>
    <t>Household volumetric water charges</t>
  </si>
  <si>
    <t>Non-household volumetric water charges</t>
  </si>
  <si>
    <t>Household fixed water charges</t>
  </si>
  <si>
    <t>Non-household fixed water charges</t>
  </si>
  <si>
    <t>Breakdown of charges for bulk discharge</t>
  </si>
  <si>
    <t>Household volumetric wastewater charges</t>
  </si>
  <si>
    <t>Non-household volumetric wastewater charges</t>
  </si>
  <si>
    <t>Household fixed wastewater charges</t>
  </si>
  <si>
    <t>Non-household fixed wastewater charges</t>
  </si>
  <si>
    <t>Household avoidable water costs</t>
  </si>
  <si>
    <t>Non-household avoidable water costs</t>
  </si>
  <si>
    <t>Household avoidable wastewater costs</t>
  </si>
  <si>
    <t>Non-household avoidable wastewater costs</t>
  </si>
  <si>
    <t>NW</t>
  </si>
  <si>
    <t>ESW</t>
  </si>
  <si>
    <t>Y</t>
  </si>
  <si>
    <t>N</t>
  </si>
  <si>
    <t>Operating Costs - Full Drainage</t>
  </si>
  <si>
    <t>Avoided Operating Costs - Foul Only</t>
  </si>
  <si>
    <t>Avoided Operating Costs - Full Drainage</t>
  </si>
  <si>
    <t>C</t>
  </si>
  <si>
    <t>NAV bulk charges calculator - 2021/22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</si>
</sst>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00"/>
  </numFmts>
  <fonts count="17" x14ac:knownFonts="1">
    <font>
      <sz val="11"/>
      <color theme="1"/>
      <name val="Calibri"/>
      <family val="2"/>
      <scheme val="minor"/>
    </font>
    <font>
      <b/>
      <sz val="11"/>
      <color theme="1"/>
      <name val="Calibri"/>
      <family val="2"/>
      <scheme val="minor"/>
    </font>
    <font>
      <b/>
      <sz val="11"/>
      <name val="Calibri"/>
      <family val="2"/>
      <scheme val="minor"/>
    </font>
    <font>
      <sz val="9"/>
      <color theme="1"/>
      <name val="Arial"/>
      <family val="2"/>
    </font>
    <font>
      <vertAlign val="superscript"/>
      <sz val="9"/>
      <color theme="1"/>
      <name val="Arial"/>
      <family val="2"/>
    </font>
    <font>
      <sz val="11"/>
      <name val="Calibri"/>
      <family val="2"/>
      <scheme val="minor"/>
    </font>
    <font>
      <b/>
      <sz val="18"/>
      <color theme="1"/>
      <name val="Calibri"/>
      <family val="2"/>
      <scheme val="minor"/>
    </font>
    <font>
      <b/>
      <sz val="12"/>
      <color theme="1"/>
      <name val="Calibri"/>
      <family val="2"/>
      <scheme val="minor"/>
    </font>
    <font>
      <b/>
      <sz val="11"/>
      <color theme="0"/>
      <name val="Calibri"/>
      <family val="2"/>
      <scheme val="minor"/>
    </font>
    <font>
      <sz val="11"/>
      <color rgb="FFFF0000"/>
      <name val="Calibri"/>
      <family val="2"/>
      <scheme val="minor"/>
    </font>
    <font>
      <sz val="11"/>
      <color theme="9"/>
      <name val="Calibri"/>
      <family val="2"/>
      <scheme val="minor"/>
    </font>
    <font>
      <i/>
      <sz val="11"/>
      <color rgb="FFFF0000"/>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font>
    <font>
      <i/>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27">
    <border>
      <left/>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0" fillId="0" borderId="0" xfId="0" applyFill="1"/>
    <xf numFmtId="0" fontId="1" fillId="0" borderId="0" xfId="0" applyFont="1" applyFill="1"/>
    <xf numFmtId="0" fontId="1" fillId="0" borderId="1" xfId="0" applyFont="1" applyFill="1" applyBorder="1"/>
    <xf numFmtId="0" fontId="2" fillId="0" borderId="1" xfId="0" applyFont="1" applyFill="1" applyBorder="1" applyAlignment="1"/>
    <xf numFmtId="0" fontId="1" fillId="0" borderId="0" xfId="0" applyFont="1" applyFill="1" applyBorder="1" applyAlignment="1">
      <alignment horizontal="center"/>
    </xf>
    <xf numFmtId="0" fontId="0" fillId="0" borderId="8" xfId="0" applyBorder="1"/>
    <xf numFmtId="0" fontId="0" fillId="0" borderId="0" xfId="0" applyBorder="1"/>
    <xf numFmtId="0" fontId="0" fillId="0" borderId="9" xfId="0" applyBorder="1"/>
    <xf numFmtId="0" fontId="1" fillId="0" borderId="8" xfId="0" applyFont="1" applyBorder="1"/>
    <xf numFmtId="0" fontId="0" fillId="0" borderId="10" xfId="0" applyBorder="1"/>
    <xf numFmtId="0" fontId="0" fillId="0" borderId="11" xfId="0" applyBorder="1"/>
    <xf numFmtId="0" fontId="0" fillId="0" borderId="12" xfId="0" applyBorder="1"/>
    <xf numFmtId="0" fontId="1" fillId="0" borderId="0" xfId="0" applyFont="1" applyBorder="1"/>
    <xf numFmtId="0" fontId="1" fillId="0" borderId="9" xfId="0" applyFont="1" applyBorder="1"/>
    <xf numFmtId="0" fontId="0" fillId="0" borderId="0" xfId="0" applyFill="1" applyBorder="1"/>
    <xf numFmtId="0" fontId="0" fillId="2" borderId="0" xfId="0"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8" xfId="0" applyFont="1" applyFill="1" applyBorder="1"/>
    <xf numFmtId="0" fontId="1" fillId="0" borderId="0" xfId="0" applyFont="1" applyFill="1" applyBorder="1"/>
    <xf numFmtId="0" fontId="1" fillId="0" borderId="9" xfId="0" applyFont="1" applyFill="1" applyBorder="1"/>
    <xf numFmtId="0" fontId="0" fillId="0" borderId="8" xfId="0" applyFill="1" applyBorder="1"/>
    <xf numFmtId="3" fontId="0" fillId="0" borderId="0" xfId="0" applyNumberFormat="1" applyFill="1" applyBorder="1"/>
    <xf numFmtId="3" fontId="0" fillId="0" borderId="9" xfId="0" applyNumberFormat="1" applyFill="1" applyBorder="1"/>
    <xf numFmtId="0" fontId="0" fillId="0" borderId="9" xfId="0" applyFill="1" applyBorder="1"/>
    <xf numFmtId="164" fontId="0" fillId="0" borderId="0" xfId="0" applyNumberFormat="1" applyFill="1" applyBorder="1"/>
    <xf numFmtId="0" fontId="1" fillId="0" borderId="13" xfId="0" applyFont="1" applyFill="1" applyBorder="1"/>
    <xf numFmtId="3" fontId="1" fillId="0" borderId="14" xfId="0" applyNumberFormat="1" applyFont="1" applyFill="1" applyBorder="1"/>
    <xf numFmtId="4" fontId="0" fillId="0" borderId="0" xfId="0" applyNumberFormat="1" applyBorder="1"/>
    <xf numFmtId="4" fontId="0" fillId="0" borderId="0" xfId="0" applyNumberFormat="1"/>
    <xf numFmtId="4" fontId="1" fillId="0" borderId="0" xfId="0" applyNumberFormat="1" applyFont="1"/>
    <xf numFmtId="0" fontId="0" fillId="0" borderId="8" xfId="0" applyFont="1" applyFill="1" applyBorder="1"/>
    <xf numFmtId="0" fontId="0" fillId="0" borderId="8" xfId="0" applyFont="1" applyFill="1" applyBorder="1" applyAlignment="1">
      <alignment wrapText="1"/>
    </xf>
    <xf numFmtId="4" fontId="1" fillId="0" borderId="0" xfId="0" applyNumberFormat="1" applyFont="1" applyBorder="1"/>
    <xf numFmtId="0" fontId="0" fillId="0" borderId="0" xfId="0" quotePrefix="1"/>
    <xf numFmtId="0" fontId="1" fillId="0" borderId="0" xfId="0" applyFont="1" applyFill="1" applyAlignment="1"/>
    <xf numFmtId="0" fontId="3" fillId="0" borderId="8" xfId="0" applyFont="1" applyBorder="1" applyAlignment="1">
      <alignment horizontal="left" vertical="center" wrapText="1"/>
    </xf>
    <xf numFmtId="3" fontId="0" fillId="0" borderId="0" xfId="0" applyNumberFormat="1" applyBorder="1"/>
    <xf numFmtId="0" fontId="0" fillId="0" borderId="8" xfId="0" applyFill="1" applyBorder="1" applyAlignment="1">
      <alignment wrapText="1"/>
    </xf>
    <xf numFmtId="0" fontId="2" fillId="0" borderId="0" xfId="0" applyFont="1" applyFill="1" applyBorder="1" applyAlignment="1">
      <alignment horizontal="center" vertical="center" wrapText="1"/>
    </xf>
    <xf numFmtId="3" fontId="1" fillId="4" borderId="1" xfId="0" applyNumberFormat="1" applyFont="1" applyFill="1" applyBorder="1" applyAlignment="1">
      <alignment horizontal="right"/>
    </xf>
    <xf numFmtId="0" fontId="1" fillId="0" borderId="0" xfId="0" applyFont="1" applyBorder="1" applyAlignment="1">
      <alignment horizontal="center"/>
    </xf>
    <xf numFmtId="0" fontId="1" fillId="0" borderId="9" xfId="0" applyFont="1" applyBorder="1" applyAlignment="1">
      <alignment horizontal="center"/>
    </xf>
    <xf numFmtId="0" fontId="2" fillId="0" borderId="0" xfId="0" applyFont="1" applyFill="1" applyBorder="1" applyAlignment="1">
      <alignment horizontal="center" vertical="center" wrapText="1"/>
    </xf>
    <xf numFmtId="3" fontId="0" fillId="3" borderId="0" xfId="0" applyNumberFormat="1" applyFill="1" applyBorder="1" applyProtection="1">
      <protection locked="0"/>
    </xf>
    <xf numFmtId="0" fontId="1" fillId="3" borderId="0" xfId="0" applyFont="1" applyFill="1" applyAlignment="1" applyProtection="1">
      <alignment horizontal="right"/>
      <protection locked="0"/>
    </xf>
    <xf numFmtId="3" fontId="1" fillId="3" borderId="0" xfId="0" applyNumberFormat="1" applyFont="1" applyFill="1" applyAlignment="1" applyProtection="1">
      <alignment horizontal="right"/>
      <protection locked="0"/>
    </xf>
    <xf numFmtId="0" fontId="1" fillId="0" borderId="5" xfId="0" applyFont="1" applyFill="1" applyBorder="1"/>
    <xf numFmtId="0" fontId="0" fillId="0" borderId="6" xfId="0" applyBorder="1"/>
    <xf numFmtId="0" fontId="0" fillId="0" borderId="7" xfId="0" applyBorder="1"/>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0" fontId="5"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5" fillId="3" borderId="0" xfId="0" applyFont="1" applyFill="1" applyBorder="1" applyAlignment="1" applyProtection="1">
      <alignment horizontal="right" vertical="center" wrapText="1"/>
      <protection locked="0"/>
    </xf>
    <xf numFmtId="4" fontId="0" fillId="0" borderId="0" xfId="0" applyNumberFormat="1" applyFont="1" applyFill="1" applyBorder="1" applyAlignment="1">
      <alignment horizontal="right"/>
    </xf>
    <xf numFmtId="4" fontId="5" fillId="0" borderId="0" xfId="0" applyNumberFormat="1" applyFont="1" applyFill="1" applyBorder="1" applyAlignment="1">
      <alignment horizontal="right" vertical="center" wrapText="1"/>
    </xf>
    <xf numFmtId="0" fontId="0" fillId="0" borderId="0" xfId="0" quotePrefix="1" applyFill="1"/>
    <xf numFmtId="0" fontId="2" fillId="0" borderId="0" xfId="0" applyFont="1" applyFill="1" applyBorder="1" applyAlignment="1">
      <alignment vertical="center" wrapText="1"/>
    </xf>
    <xf numFmtId="0" fontId="0" fillId="4" borderId="0" xfId="0" applyFill="1"/>
    <xf numFmtId="3" fontId="1" fillId="0" borderId="0" xfId="0" applyNumberFormat="1" applyFont="1" applyFill="1" applyAlignment="1" applyProtection="1">
      <alignment horizontal="right"/>
    </xf>
    <xf numFmtId="0" fontId="0" fillId="0" borderId="0" xfId="0" applyFill="1" applyAlignment="1">
      <alignment vertical="center"/>
    </xf>
    <xf numFmtId="3" fontId="5" fillId="0" borderId="9" xfId="0" applyNumberFormat="1" applyFont="1" applyFill="1" applyBorder="1" applyAlignment="1">
      <alignment horizontal="right" vertical="center" wrapText="1"/>
    </xf>
    <xf numFmtId="3" fontId="2" fillId="0" borderId="14" xfId="0" applyNumberFormat="1" applyFont="1" applyFill="1" applyBorder="1" applyAlignment="1">
      <alignment horizontal="right" vertical="center"/>
    </xf>
    <xf numFmtId="0" fontId="0" fillId="3" borderId="0" xfId="0" applyFill="1" applyBorder="1"/>
    <xf numFmtId="0" fontId="0" fillId="4" borderId="0" xfId="0" applyFill="1" applyBorder="1"/>
    <xf numFmtId="0" fontId="0" fillId="4" borderId="0" xfId="0" applyFill="1" applyBorder="1" applyAlignment="1">
      <alignment horizontal="left" wrapText="1"/>
    </xf>
    <xf numFmtId="0" fontId="0" fillId="4" borderId="0" xfId="0" applyFill="1" applyBorder="1" applyAlignment="1">
      <alignment vertical="center" wrapText="1"/>
    </xf>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applyAlignment="1">
      <alignment vertical="center" wrapText="1"/>
    </xf>
    <xf numFmtId="0" fontId="0" fillId="4" borderId="23" xfId="0" applyFill="1" applyBorder="1"/>
    <xf numFmtId="0" fontId="0" fillId="6" borderId="0" xfId="0" applyFill="1" applyBorder="1"/>
    <xf numFmtId="0" fontId="0" fillId="5" borderId="0" xfId="0" applyFill="1"/>
    <xf numFmtId="0" fontId="9" fillId="5" borderId="0" xfId="0" applyFont="1" applyFill="1" applyAlignment="1">
      <alignment wrapText="1"/>
    </xf>
    <xf numFmtId="0" fontId="0" fillId="5" borderId="0" xfId="0" applyFont="1" applyFill="1" applyAlignment="1">
      <alignment wrapText="1"/>
    </xf>
    <xf numFmtId="0" fontId="12" fillId="5" borderId="0" xfId="0" applyFont="1" applyFill="1"/>
    <xf numFmtId="0" fontId="1" fillId="4" borderId="0" xfId="0" applyFont="1" applyFill="1"/>
    <xf numFmtId="0" fontId="10" fillId="4" borderId="0" xfId="0" applyFont="1" applyFill="1"/>
    <xf numFmtId="0" fontId="0" fillId="4" borderId="0" xfId="0" applyFill="1" applyAlignment="1">
      <alignment wrapText="1"/>
    </xf>
    <xf numFmtId="0" fontId="2" fillId="4" borderId="0" xfId="0" applyFont="1" applyFill="1"/>
    <xf numFmtId="0" fontId="14" fillId="4" borderId="0" xfId="0" applyFont="1" applyFill="1"/>
    <xf numFmtId="0" fontId="9" fillId="4" borderId="0" xfId="0" applyFont="1" applyFill="1"/>
    <xf numFmtId="0" fontId="0" fillId="4" borderId="0" xfId="0" applyFont="1" applyFill="1"/>
    <xf numFmtId="0" fontId="1" fillId="4" borderId="0" xfId="0" applyFont="1" applyFill="1" applyBorder="1"/>
    <xf numFmtId="0" fontId="8" fillId="4" borderId="0" xfId="0" applyFont="1" applyFill="1" applyBorder="1" applyAlignment="1">
      <alignment horizontal="center"/>
    </xf>
    <xf numFmtId="0" fontId="0" fillId="4" borderId="0" xfId="0" applyFont="1" applyFill="1" applyAlignment="1">
      <alignment wrapText="1"/>
    </xf>
    <xf numFmtId="0" fontId="9" fillId="4" borderId="0" xfId="0" applyFont="1" applyFill="1" applyBorder="1"/>
    <xf numFmtId="0" fontId="2" fillId="4" borderId="0" xfId="0" applyFont="1" applyFill="1" applyBorder="1"/>
    <xf numFmtId="0" fontId="11" fillId="4" borderId="0" xfId="0" applyFont="1" applyFill="1" applyBorder="1"/>
    <xf numFmtId="0" fontId="16" fillId="4" borderId="0" xfId="0" applyFont="1" applyFill="1" applyBorder="1"/>
    <xf numFmtId="0" fontId="12" fillId="4" borderId="0" xfId="0" applyFont="1" applyFill="1"/>
    <xf numFmtId="0" fontId="11" fillId="4" borderId="0" xfId="0" applyFont="1" applyFill="1"/>
    <xf numFmtId="0" fontId="13" fillId="4" borderId="0" xfId="0" applyFont="1" applyFill="1"/>
    <xf numFmtId="0" fontId="0" fillId="3" borderId="0" xfId="0" applyFill="1"/>
    <xf numFmtId="8" fontId="0" fillId="0" borderId="0" xfId="0" applyNumberFormat="1"/>
    <xf numFmtId="0" fontId="0" fillId="4" borderId="0" xfId="0" applyFont="1" applyFill="1" applyAlignment="1"/>
    <xf numFmtId="0" fontId="0" fillId="4" borderId="0" xfId="0" applyFill="1" applyAlignment="1"/>
    <xf numFmtId="3" fontId="0" fillId="4" borderId="0" xfId="0" applyNumberFormat="1" applyFill="1" applyBorder="1"/>
    <xf numFmtId="3" fontId="0" fillId="4" borderId="0" xfId="0" applyNumberFormat="1" applyFill="1"/>
    <xf numFmtId="3" fontId="1" fillId="4" borderId="0" xfId="0" applyNumberFormat="1" applyFont="1" applyFill="1"/>
    <xf numFmtId="3" fontId="2" fillId="4" borderId="0" xfId="0" applyNumberFormat="1" applyFont="1" applyFill="1" applyBorder="1" applyAlignment="1">
      <alignment horizontal="center"/>
    </xf>
    <xf numFmtId="3" fontId="1" fillId="4" borderId="0" xfId="0" applyNumberFormat="1" applyFont="1" applyFill="1" applyBorder="1"/>
    <xf numFmtId="3" fontId="0" fillId="4" borderId="0" xfId="0" applyNumberFormat="1" applyFont="1" applyFill="1" applyAlignment="1">
      <alignment wrapText="1"/>
    </xf>
    <xf numFmtId="2" fontId="0" fillId="0" borderId="0" xfId="0" applyNumberFormat="1" applyBorder="1"/>
    <xf numFmtId="3" fontId="0" fillId="0" borderId="9" xfId="0" applyNumberFormat="1" applyBorder="1"/>
    <xf numFmtId="4" fontId="2" fillId="4" borderId="0" xfId="0" applyNumberFormat="1" applyFont="1" applyFill="1" applyBorder="1" applyAlignment="1">
      <alignment horizontal="center"/>
    </xf>
    <xf numFmtId="4" fontId="1" fillId="4" borderId="0" xfId="0" applyNumberFormat="1" applyFont="1" applyFill="1" applyBorder="1"/>
    <xf numFmtId="4" fontId="0" fillId="4" borderId="0" xfId="0" applyNumberFormat="1" applyFont="1" applyFill="1" applyAlignment="1">
      <alignment wrapText="1"/>
    </xf>
    <xf numFmtId="4" fontId="0" fillId="4" borderId="0" xfId="0" applyNumberFormat="1" applyFill="1"/>
    <xf numFmtId="0" fontId="2" fillId="7" borderId="15" xfId="0" applyFont="1" applyFill="1" applyBorder="1" applyAlignment="1" applyProtection="1">
      <alignment horizontal="center"/>
      <protection locked="0"/>
    </xf>
    <xf numFmtId="3" fontId="2" fillId="7" borderId="15" xfId="0" applyNumberFormat="1" applyFont="1" applyFill="1" applyBorder="1" applyAlignment="1" applyProtection="1">
      <alignment horizontal="center"/>
      <protection locked="0"/>
    </xf>
    <xf numFmtId="0" fontId="0" fillId="4" borderId="0" xfId="0" applyFill="1" applyBorder="1" applyAlignment="1">
      <alignment vertical="center" wrapText="1"/>
    </xf>
    <xf numFmtId="0" fontId="6" fillId="6" borderId="0" xfId="0" applyFont="1" applyFill="1" applyBorder="1" applyAlignment="1">
      <alignment horizontal="center" vertical="center"/>
    </xf>
    <xf numFmtId="0" fontId="0" fillId="4" borderId="0" xfId="0" applyFill="1" applyBorder="1" applyAlignment="1">
      <alignment horizontal="left" wrapText="1"/>
    </xf>
    <xf numFmtId="0" fontId="9" fillId="5" borderId="0" xfId="0" applyFont="1" applyFill="1"/>
    <xf numFmtId="0" fontId="0" fillId="4" borderId="0" xfId="0" applyFont="1" applyFill="1" applyAlignment="1">
      <alignment wrapText="1"/>
    </xf>
    <xf numFmtId="0" fontId="6" fillId="7" borderId="0" xfId="0" applyFont="1" applyFill="1" applyBorder="1" applyAlignment="1">
      <alignment horizontal="center" vertical="center"/>
    </xf>
    <xf numFmtId="0" fontId="0" fillId="4" borderId="0" xfId="0" applyFill="1" applyAlignment="1">
      <alignment wrapText="1"/>
    </xf>
    <xf numFmtId="0" fontId="9" fillId="5" borderId="0" xfId="0" applyFont="1" applyFill="1" applyAlignment="1">
      <alignment wrapText="1"/>
    </xf>
    <xf numFmtId="0" fontId="9" fillId="5" borderId="0" xfId="0" applyFont="1" applyFill="1" applyAlignment="1">
      <alignment horizontal="left" wrapText="1"/>
    </xf>
    <xf numFmtId="0" fontId="9" fillId="5" borderId="0" xfId="0" applyFont="1" applyFill="1" applyAlignment="1">
      <alignment horizontal="left" vertical="top" wrapText="1"/>
    </xf>
    <xf numFmtId="3" fontId="2" fillId="3" borderId="24" xfId="0" applyNumberFormat="1" applyFont="1" applyFill="1" applyBorder="1" applyAlignment="1" applyProtection="1">
      <alignment horizontal="center"/>
      <protection locked="0"/>
    </xf>
    <xf numFmtId="3" fontId="2" fillId="3" borderId="25" xfId="0" applyNumberFormat="1" applyFont="1" applyFill="1" applyBorder="1" applyAlignment="1" applyProtection="1">
      <alignment horizontal="center"/>
      <protection locked="0"/>
    </xf>
    <xf numFmtId="3" fontId="2" fillId="3" borderId="26" xfId="0" applyNumberFormat="1" applyFont="1" applyFill="1" applyBorder="1" applyAlignment="1" applyProtection="1">
      <alignment horizontal="center"/>
      <protection locked="0"/>
    </xf>
    <xf numFmtId="4" fontId="2" fillId="3" borderId="24" xfId="0" applyNumberFormat="1" applyFont="1" applyFill="1" applyBorder="1" applyAlignment="1" applyProtection="1">
      <alignment horizontal="center"/>
      <protection locked="0"/>
    </xf>
    <xf numFmtId="4" fontId="2" fillId="3" borderId="25" xfId="0" applyNumberFormat="1" applyFont="1" applyFill="1" applyBorder="1" applyAlignment="1" applyProtection="1">
      <alignment horizontal="center"/>
      <protection locked="0"/>
    </xf>
    <xf numFmtId="4" fontId="2" fillId="3" borderId="26" xfId="0" applyNumberFormat="1" applyFont="1" applyFill="1" applyBorder="1" applyAlignment="1" applyProtection="1">
      <alignment horizontal="center"/>
      <protection locked="0"/>
    </xf>
    <xf numFmtId="0" fontId="6" fillId="3" borderId="0" xfId="0" applyFont="1" applyFill="1" applyBorder="1" applyAlignment="1">
      <alignment horizontal="center" vertic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7" fillId="0" borderId="0" xfId="0" applyFont="1" applyFill="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1" fillId="0" borderId="0" xfId="0" applyFont="1" applyAlignment="1">
      <alignment horizontal="center" wrapText="1"/>
    </xf>
    <xf numFmtId="0" fontId="0" fillId="0" borderId="0" xfId="0"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cellXfs>
  <cellStyles count="1">
    <cellStyle name="Normal" xfId="0" builtinId="0"/>
  </cellStyles>
  <dxfs count="9">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auto="1"/>
      </font>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394210</xdr:colOff>
      <xdr:row>2</xdr:row>
      <xdr:rowOff>0</xdr:rowOff>
    </xdr:from>
    <xdr:to>
      <xdr:col>13</xdr:col>
      <xdr:colOff>3904</xdr:colOff>
      <xdr:row>5</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6109210" y="184150"/>
          <a:ext cx="879694" cy="552450"/>
        </a:xfrm>
        <a:prstGeom prst="rect">
          <a:avLst/>
        </a:prstGeom>
        <a:noFill/>
        <a:ln w="9525">
          <a:noFill/>
          <a:miter lim="800000"/>
          <a:headEnd/>
          <a:tailEnd/>
        </a:ln>
      </xdr:spPr>
    </xdr:pic>
    <xdr:clientData/>
  </xdr:twoCellAnchor>
  <xdr:twoCellAnchor editAs="oneCell">
    <xdr:from>
      <xdr:col>7</xdr:col>
      <xdr:colOff>0</xdr:colOff>
      <xdr:row>2</xdr:row>
      <xdr:rowOff>0</xdr:rowOff>
    </xdr:from>
    <xdr:to>
      <xdr:col>11</xdr:col>
      <xdr:colOff>0</xdr:colOff>
      <xdr:row>5</xdr:row>
      <xdr:rowOff>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00" y="184150"/>
          <a:ext cx="2540000" cy="552450"/>
        </a:xfrm>
        <a:prstGeom prst="rect">
          <a:avLst/>
        </a:prstGeom>
        <a:extLst>
          <a:ext uri="{FAA26D3D-D897-4be2-8F04-BA451C77F1D7}">
            <ma14:placeholderFlag xmlns:lc="http://schemas.openxmlformats.org/drawingml/2006/lockedCanvas" xmlns:ve="http://schemas.openxmlformats.org/markup-compatibility/2006"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2</xdr:col>
      <xdr:colOff>0</xdr:colOff>
      <xdr:row>2</xdr:row>
      <xdr:rowOff>0</xdr:rowOff>
    </xdr:from>
    <xdr:to>
      <xdr:col>6</xdr:col>
      <xdr:colOff>0</xdr:colOff>
      <xdr:row>5</xdr:row>
      <xdr:rowOff>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7500" y="184150"/>
          <a:ext cx="2540000" cy="552450"/>
        </a:xfrm>
        <a:prstGeom prst="rect">
          <a:avLst/>
        </a:prstGeom>
        <a:extLst>
          <a:ext uri="{FAA26D3D-D897-4be2-8F04-BA451C77F1D7}">
            <ma14:placeholderFlag xmlns:lc="http://schemas.openxmlformats.org/drawingml/2006/lockedCanvas" xmlns:ve="http://schemas.openxmlformats.org/markup-compatibility/2006"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390306</xdr:colOff>
      <xdr:row>1</xdr:row>
      <xdr:rowOff>165100</xdr:rowOff>
    </xdr:from>
    <xdr:to>
      <xdr:col>13</xdr:col>
      <xdr:colOff>0</xdr:colOff>
      <xdr:row>4</xdr:row>
      <xdr:rowOff>165100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bwMode="auto">
        <a:xfrm>
          <a:off x="6422806" y="349250"/>
          <a:ext cx="879694" cy="552450"/>
        </a:xfrm>
        <a:prstGeom prst="rect">
          <a:avLst/>
        </a:prstGeom>
        <a:noFill/>
        <a:ln w="9525">
          <a:noFill/>
          <a:miter lim="800000"/>
          <a:headEnd/>
          <a:tailEnd/>
        </a:ln>
      </xdr:spPr>
    </xdr:pic>
    <xdr:clientData/>
  </xdr:twoCellAnchor>
  <xdr:twoCellAnchor editAs="oneCell">
    <xdr:from>
      <xdr:col>7</xdr:col>
      <xdr:colOff>0</xdr:colOff>
      <xdr:row>1</xdr:row>
      <xdr:rowOff>120650</xdr:rowOff>
    </xdr:from>
    <xdr:to>
      <xdr:col>11</xdr:col>
      <xdr:colOff>0</xdr:colOff>
      <xdr:row>4</xdr:row>
      <xdr:rowOff>120650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0" y="304800"/>
          <a:ext cx="2540000" cy="552450"/>
        </a:xfrm>
        <a:prstGeom prst="rect">
          <a:avLst/>
        </a:prstGeom>
        <a:extLst>
          <a:ext uri="{FAA26D3D-D897-4be2-8F04-BA451C77F1D7}">
            <ma14:placeholderFlag xmlns:lc="http://schemas.openxmlformats.org/drawingml/2006/lockedCanvas" xmlns:ve="http://schemas.openxmlformats.org/markup-compatibility/2006"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2</xdr:col>
      <xdr:colOff>0</xdr:colOff>
      <xdr:row>1</xdr:row>
      <xdr:rowOff>139700</xdr:rowOff>
    </xdr:from>
    <xdr:to>
      <xdr:col>6</xdr:col>
      <xdr:colOff>0</xdr:colOff>
      <xdr:row>4</xdr:row>
      <xdr:rowOff>139700</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5000" y="323850"/>
          <a:ext cx="2540000" cy="552450"/>
        </a:xfrm>
        <a:prstGeom prst="rect">
          <a:avLst/>
        </a:prstGeom>
        <a:extLst>
          <a:ext uri="{FAA26D3D-D897-4be2-8F04-BA451C77F1D7}">
            <ma14:placeholderFlag xmlns:lc="http://schemas.openxmlformats.org/drawingml/2006/lockedCanvas" xmlns:ve="http://schemas.openxmlformats.org/markup-compatibility/2006"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390306</xdr:colOff>
      <xdr:row>1</xdr:row>
      <xdr:rowOff>165100</xdr:rowOff>
    </xdr:from>
    <xdr:to>
      <xdr:col>13</xdr:col>
      <xdr:colOff>50800</xdr:colOff>
      <xdr:row>4</xdr:row>
      <xdr:rowOff>165100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422806" y="349250"/>
          <a:ext cx="879694" cy="552450"/>
        </a:xfrm>
        <a:prstGeom prst="rect">
          <a:avLst/>
        </a:prstGeom>
        <a:noFill/>
        <a:ln w="9525">
          <a:noFill/>
          <a:miter lim="800000"/>
          <a:headEnd/>
          <a:tailEnd/>
        </a:ln>
      </xdr:spPr>
    </xdr:pic>
    <xdr:clientData/>
  </xdr:twoCellAnchor>
  <xdr:twoCellAnchor editAs="oneCell">
    <xdr:from>
      <xdr:col>7</xdr:col>
      <xdr:colOff>0</xdr:colOff>
      <xdr:row>1</xdr:row>
      <xdr:rowOff>120650</xdr:rowOff>
    </xdr:from>
    <xdr:to>
      <xdr:col>11</xdr:col>
      <xdr:colOff>101600</xdr:colOff>
      <xdr:row>4</xdr:row>
      <xdr:rowOff>120650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0" y="304800"/>
          <a:ext cx="2540000" cy="552450"/>
        </a:xfrm>
        <a:prstGeom prst="rect">
          <a:avLst/>
        </a:prstGeom>
        <a:extLst>
          <a:ext uri="{FAA26D3D-D897-4be2-8F04-BA451C77F1D7}">
            <ma14:placeholderFlag xmlns:lc="http://schemas.openxmlformats.org/drawingml/2006/lockedCanvas" xmlns:ve="http://schemas.openxmlformats.org/markup-compatibility/2006"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2</xdr:col>
      <xdr:colOff>0</xdr:colOff>
      <xdr:row>1</xdr:row>
      <xdr:rowOff>139700</xdr:rowOff>
    </xdr:from>
    <xdr:to>
      <xdr:col>6</xdr:col>
      <xdr:colOff>101600</xdr:colOff>
      <xdr:row>4</xdr:row>
      <xdr:rowOff>139700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5000" y="323850"/>
          <a:ext cx="2540000" cy="552450"/>
        </a:xfrm>
        <a:prstGeom prst="rect">
          <a:avLst/>
        </a:prstGeom>
        <a:extLst>
          <a:ext uri="{FAA26D3D-D897-4be2-8F04-BA451C77F1D7}">
            <ma14:placeholderFlag xmlns:lc="http://schemas.openxmlformats.org/drawingml/2006/lockedCanvas" xmlns:ve="http://schemas.openxmlformats.org/markup-compatibility/2006"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Pricing\2021-22%20Charges\NAVs\Final%20NES%20NAV%20Bulk%20Supply%20Charges%20202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Pricing\2021-22%20Charges\Project%20Nautical%20-%202021-22%20v5%20FD.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 21-22 tariff"/>
      <sheetName val="Summary"/>
      <sheetName val="NWL Water 21-22"/>
      <sheetName val="ESW Water 21-22"/>
      <sheetName val="NWL Waste 21-22"/>
      <sheetName val="Water NAV tariff calcs"/>
      <sheetName val="Wastewater NAV tariff"/>
      <sheetName val="NAV 21-22 water example"/>
      <sheetName val="NAV 21-22 wastewater example"/>
      <sheetName val="NWL HH"/>
      <sheetName val="ESW HH"/>
      <sheetName val="NWL NHH"/>
      <sheetName val="ESW NHH"/>
      <sheetName val="Water Costs"/>
      <sheetName val="Wastewater costs"/>
      <sheetName val="Indices"/>
      <sheetName val="WWS1 cost assessment"/>
      <sheetName val="WWWS1 Cost Assessment"/>
      <sheetName val="WACC"/>
      <sheetName val="ESW HH1"/>
      <sheetName val="NWL HH1"/>
      <sheetName val="NWL NHH1"/>
      <sheetName val="ESW NHH1"/>
      <sheetName val="APR 4R 20"/>
      <sheetName val="APR 4P 20"/>
      <sheetName val="WN2"/>
    </sheetNames>
    <sheetDataSet>
      <sheetData sheetId="0">
        <row r="12">
          <cell r="C12">
            <v>20.200000000000003</v>
          </cell>
          <cell r="D12">
            <v>20.200000000000003</v>
          </cell>
        </row>
        <row r="13">
          <cell r="C13">
            <v>1.0657000000000001</v>
          </cell>
          <cell r="D13">
            <v>1.2450000000000001</v>
          </cell>
          <cell r="F13">
            <v>1.0613999999999999</v>
          </cell>
          <cell r="G13">
            <v>1.3508</v>
          </cell>
        </row>
        <row r="16">
          <cell r="C16">
            <v>19.165500000000002</v>
          </cell>
          <cell r="D16">
            <v>19.165500000000002</v>
          </cell>
          <cell r="F16">
            <v>0.20230000000000001</v>
          </cell>
          <cell r="G16">
            <v>0.1943</v>
          </cell>
        </row>
        <row r="17">
          <cell r="C17">
            <v>7.1837999999999997</v>
          </cell>
          <cell r="D17">
            <v>7.1837999999999997</v>
          </cell>
          <cell r="F17">
            <v>7.5800000000000006E-2</v>
          </cell>
          <cell r="G17">
            <v>7.2800000000000004E-2</v>
          </cell>
        </row>
        <row r="20">
          <cell r="C20">
            <v>2.9600000000000001E-2</v>
          </cell>
          <cell r="D20">
            <v>3.4599999999999999E-2</v>
          </cell>
          <cell r="F20">
            <v>2.9600000000000001E-2</v>
          </cell>
          <cell r="G20">
            <v>3.4599999999999999E-2</v>
          </cell>
        </row>
        <row r="53">
          <cell r="C53">
            <v>17.900000000000002</v>
          </cell>
          <cell r="D53">
            <v>64.150000000000006</v>
          </cell>
        </row>
        <row r="54">
          <cell r="C54">
            <v>0.72460000000000002</v>
          </cell>
          <cell r="F54">
            <v>1.0354000000000001</v>
          </cell>
        </row>
        <row r="59">
          <cell r="C59">
            <v>2.5983000000000001</v>
          </cell>
          <cell r="D59">
            <v>4.8643999999999998</v>
          </cell>
          <cell r="F59">
            <v>2.7400000000000001E-2</v>
          </cell>
        </row>
        <row r="60">
          <cell r="C60">
            <v>1.3008</v>
          </cell>
          <cell r="F60">
            <v>1.37E-2</v>
          </cell>
        </row>
        <row r="62">
          <cell r="C62">
            <v>2.01E-2</v>
          </cell>
          <cell r="F62">
            <v>2.87E-2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Admin"/>
      <sheetName val="Scenario selector"/>
      <sheetName val="Inputs&gt;&gt;&gt;"/>
      <sheetName val="Inp_Properties"/>
      <sheetName val="Inp_Revenue_NP"/>
      <sheetName val="Inp_Tariff_NP"/>
      <sheetName val="Inp_Revenue RES"/>
      <sheetName val="Inp_Tariff RES"/>
      <sheetName val="Calculations&gt;&gt;&gt;"/>
      <sheetName val="Calcs_HH Properties"/>
      <sheetName val="Calcs_NHH Properties"/>
      <sheetName val="Calcs_ WS_NP_Water Revenue"/>
      <sheetName val="Calcs_ WS_NP_Sewage Revenue"/>
      <sheetName val="Calcs_Tariff NHH WS_NP"/>
      <sheetName val="Calcs_Tariff HH WS_NP"/>
      <sheetName val="Calcs_NHH WS Charge Multiplier"/>
      <sheetName val="Calcs_ WS Water Resources Rev"/>
      <sheetName val="Calcs_ WS Bioresources Revenue"/>
      <sheetName val="Calcs_Tariff NHH WS RES"/>
      <sheetName val="Calcs_Tariff HH WS RES"/>
      <sheetName val="Calcs_ Retail Water Revenue"/>
      <sheetName val="Calcs_ HHR Water Tariffs"/>
      <sheetName val="Calcs_ HHR Sewerage Tariffs"/>
      <sheetName val="Calcs_Tariff NHH Ind Water"/>
      <sheetName val="Calcs_ WS Sew_ Trade Effluent"/>
      <sheetName val="Trade Effluent_ Vol Forecast"/>
      <sheetName val="Outputs&gt;&gt;&gt;"/>
      <sheetName val="Summary"/>
      <sheetName val="Dashboard"/>
      <sheetName val="Tree"/>
      <sheetName val="Bill effects"/>
      <sheetName val="HH Typical Bills"/>
      <sheetName val="NHH Typical Bills"/>
      <sheetName val="Revenue Check"/>
      <sheetName val="WS tariff check"/>
      <sheetName val="Retail tariff check"/>
      <sheetName val="Tariff Summary"/>
      <sheetName val="HH Tariffs North"/>
      <sheetName val="HH Tariffs South"/>
      <sheetName val="NHH Tariffs North"/>
      <sheetName val="NHH Tariffs South"/>
      <sheetName val="Tariff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42">
          <cell r="O42">
            <v>20.200000000000003</v>
          </cell>
        </row>
        <row r="43">
          <cell r="O43">
            <v>33.700000000000003</v>
          </cell>
        </row>
        <row r="44">
          <cell r="O44">
            <v>50.552000000000007</v>
          </cell>
        </row>
        <row r="45">
          <cell r="O45">
            <v>67.333000000000013</v>
          </cell>
        </row>
        <row r="46">
          <cell r="O46">
            <v>168.333</v>
          </cell>
        </row>
        <row r="47">
          <cell r="O47">
            <v>505</v>
          </cell>
        </row>
        <row r="84">
          <cell r="O84">
            <v>67.2</v>
          </cell>
        </row>
        <row r="85">
          <cell r="O85">
            <v>207.2</v>
          </cell>
        </row>
        <row r="86">
          <cell r="O86">
            <v>431.20000000000005</v>
          </cell>
        </row>
        <row r="87">
          <cell r="O87">
            <v>767.2</v>
          </cell>
        </row>
        <row r="88">
          <cell r="O88">
            <v>1436.4</v>
          </cell>
        </row>
        <row r="89">
          <cell r="O89">
            <v>2385.6</v>
          </cell>
        </row>
        <row r="90">
          <cell r="O90">
            <v>3334.8</v>
          </cell>
        </row>
        <row r="91">
          <cell r="O91">
            <v>4751.6000000000004</v>
          </cell>
        </row>
        <row r="92">
          <cell r="O92">
            <v>7560</v>
          </cell>
        </row>
        <row r="93">
          <cell r="O93">
            <v>14025.2</v>
          </cell>
        </row>
        <row r="94">
          <cell r="O94">
            <v>22996.400000000001</v>
          </cell>
        </row>
        <row r="95">
          <cell r="O95">
            <v>31670.799999999999</v>
          </cell>
        </row>
        <row r="96">
          <cell r="O96">
            <v>40040.000000000007</v>
          </cell>
        </row>
        <row r="97">
          <cell r="O97">
            <v>47849.200000000004</v>
          </cell>
        </row>
        <row r="98">
          <cell r="O98">
            <v>59306.8</v>
          </cell>
        </row>
        <row r="101">
          <cell r="O101">
            <v>26.2</v>
          </cell>
        </row>
        <row r="102">
          <cell r="O102">
            <v>80.8</v>
          </cell>
        </row>
        <row r="103">
          <cell r="O103">
            <v>168.2</v>
          </cell>
        </row>
        <row r="104">
          <cell r="O104">
            <v>299.2</v>
          </cell>
        </row>
        <row r="105">
          <cell r="O105">
            <v>560.1</v>
          </cell>
        </row>
        <row r="106">
          <cell r="O106">
            <v>930.10000000000014</v>
          </cell>
        </row>
        <row r="107">
          <cell r="O107">
            <v>1300.1000000000001</v>
          </cell>
        </row>
        <row r="108">
          <cell r="O108">
            <v>1852.5</v>
          </cell>
        </row>
        <row r="109">
          <cell r="O109">
            <v>2947.6000000000004</v>
          </cell>
        </row>
        <row r="110">
          <cell r="O110">
            <v>5468.1</v>
          </cell>
        </row>
        <row r="111">
          <cell r="O111">
            <v>8965.9</v>
          </cell>
        </row>
        <row r="112">
          <cell r="O112">
            <v>12347.900000000001</v>
          </cell>
        </row>
        <row r="113">
          <cell r="O113">
            <v>15610.800000000001</v>
          </cell>
        </row>
        <row r="114">
          <cell r="O114">
            <v>18655.5</v>
          </cell>
        </row>
        <row r="115">
          <cell r="O115">
            <v>23122.500000000004</v>
          </cell>
        </row>
      </sheetData>
      <sheetData sheetId="42">
        <row r="40">
          <cell r="O40">
            <v>20.200000000000003</v>
          </cell>
        </row>
        <row r="41">
          <cell r="O41">
            <v>33.700000000000003</v>
          </cell>
        </row>
        <row r="42">
          <cell r="O42">
            <v>50.552000000000007</v>
          </cell>
        </row>
        <row r="43">
          <cell r="O43">
            <v>67.333000000000013</v>
          </cell>
        </row>
        <row r="44">
          <cell r="O44">
            <v>168.333</v>
          </cell>
        </row>
        <row r="45">
          <cell r="O45">
            <v>505</v>
          </cell>
        </row>
      </sheetData>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2:N20"/>
  <sheetViews>
    <sheetView showGridLines="0" workbookViewId="0">
      <selection activeCell="C7" sqref="C7"/>
    </sheetView>
  </sheetViews>
  <sheetFormatPr defaultColWidth="9.140625" defaultRowHeight="15" x14ac:dyDescent="0.25"/>
  <cols>
    <col min="1" max="2" width="4.5703125" style="78" customWidth="1"/>
    <col min="3" max="6" width="9.140625" style="78"/>
    <col min="7" max="7" width="4.5703125" style="78" customWidth="1"/>
    <col min="8" max="13" width="9.140625" style="78"/>
    <col min="14" max="14" width="4.5703125" style="78" customWidth="1"/>
    <col min="15" max="16384" width="9.140625" style="78"/>
  </cols>
  <sheetData>
    <row r="2" spans="2:14" x14ac:dyDescent="0.25">
      <c r="B2" s="70"/>
      <c r="C2" s="71"/>
      <c r="D2" s="71"/>
      <c r="E2" s="71"/>
      <c r="F2" s="71"/>
      <c r="G2" s="71"/>
      <c r="H2" s="71"/>
      <c r="I2" s="71"/>
      <c r="J2" s="71"/>
      <c r="K2" s="71"/>
      <c r="L2" s="71"/>
      <c r="M2" s="71"/>
      <c r="N2" s="72"/>
    </row>
    <row r="3" spans="2:14" x14ac:dyDescent="0.25">
      <c r="B3" s="73"/>
      <c r="C3" s="67"/>
      <c r="D3" s="67"/>
      <c r="E3" s="67"/>
      <c r="F3" s="67"/>
      <c r="G3" s="67"/>
      <c r="H3" s="67"/>
      <c r="I3" s="67"/>
      <c r="J3" s="67"/>
      <c r="K3" s="67"/>
      <c r="L3" s="67"/>
      <c r="M3" s="67"/>
      <c r="N3" s="74"/>
    </row>
    <row r="4" spans="2:14" x14ac:dyDescent="0.25">
      <c r="B4" s="73"/>
      <c r="C4" s="67"/>
      <c r="D4" s="67"/>
      <c r="E4" s="67"/>
      <c r="F4" s="67"/>
      <c r="G4" s="67"/>
      <c r="H4" s="67"/>
      <c r="I4" s="67"/>
      <c r="J4" s="67"/>
      <c r="K4" s="67"/>
      <c r="L4" s="67"/>
      <c r="M4" s="67"/>
      <c r="N4" s="74"/>
    </row>
    <row r="5" spans="2:14" x14ac:dyDescent="0.25">
      <c r="B5" s="73"/>
      <c r="C5" s="67"/>
      <c r="D5" s="67"/>
      <c r="E5" s="67"/>
      <c r="F5" s="67"/>
      <c r="G5" s="67"/>
      <c r="H5" s="67"/>
      <c r="I5" s="67"/>
      <c r="J5" s="67"/>
      <c r="K5" s="67"/>
      <c r="L5" s="67"/>
      <c r="M5" s="67"/>
      <c r="N5" s="74"/>
    </row>
    <row r="6" spans="2:14" x14ac:dyDescent="0.25">
      <c r="B6" s="73"/>
      <c r="C6" s="67"/>
      <c r="D6" s="67"/>
      <c r="E6" s="67"/>
      <c r="F6" s="67"/>
      <c r="G6" s="67"/>
      <c r="H6" s="67"/>
      <c r="I6" s="67"/>
      <c r="J6" s="67"/>
      <c r="K6" s="67"/>
      <c r="L6" s="67"/>
      <c r="M6" s="67"/>
      <c r="N6" s="74"/>
    </row>
    <row r="7" spans="2:14" x14ac:dyDescent="0.25">
      <c r="B7" s="73"/>
      <c r="C7" s="67"/>
      <c r="D7" s="67"/>
      <c r="E7" s="67"/>
      <c r="F7" s="67"/>
      <c r="G7" s="67"/>
      <c r="H7" s="67"/>
      <c r="I7" s="67"/>
      <c r="J7" s="67"/>
      <c r="K7" s="67"/>
      <c r="L7" s="67"/>
      <c r="M7" s="67"/>
      <c r="N7" s="74"/>
    </row>
    <row r="8" spans="2:14" x14ac:dyDescent="0.25">
      <c r="B8" s="73"/>
      <c r="C8" s="119" t="s">
        <v>177</v>
      </c>
      <c r="D8" s="119"/>
      <c r="E8" s="119"/>
      <c r="F8" s="119"/>
      <c r="G8" s="119"/>
      <c r="H8" s="119"/>
      <c r="I8" s="119"/>
      <c r="J8" s="119"/>
      <c r="K8" s="119"/>
      <c r="L8" s="119"/>
      <c r="M8" s="119"/>
      <c r="N8" s="74"/>
    </row>
    <row r="9" spans="2:14" x14ac:dyDescent="0.25">
      <c r="B9" s="73"/>
      <c r="C9" s="119"/>
      <c r="D9" s="119"/>
      <c r="E9" s="119"/>
      <c r="F9" s="119"/>
      <c r="G9" s="119"/>
      <c r="H9" s="119"/>
      <c r="I9" s="119"/>
      <c r="J9" s="119"/>
      <c r="K9" s="119"/>
      <c r="L9" s="119"/>
      <c r="M9" s="119"/>
      <c r="N9" s="74"/>
    </row>
    <row r="10" spans="2:14" x14ac:dyDescent="0.25">
      <c r="B10" s="73"/>
      <c r="C10" s="67"/>
      <c r="D10" s="67"/>
      <c r="E10" s="67"/>
      <c r="F10" s="67"/>
      <c r="G10" s="67"/>
      <c r="H10" s="67"/>
      <c r="I10" s="67"/>
      <c r="J10" s="67"/>
      <c r="K10" s="67"/>
      <c r="L10" s="67"/>
      <c r="M10" s="67"/>
      <c r="N10" s="74"/>
    </row>
    <row r="11" spans="2:14" ht="58.15" customHeight="1" x14ac:dyDescent="0.25">
      <c r="B11" s="73"/>
      <c r="C11" s="120" t="s">
        <v>96</v>
      </c>
      <c r="D11" s="120"/>
      <c r="E11" s="120"/>
      <c r="F11" s="120"/>
      <c r="G11" s="120"/>
      <c r="H11" s="120"/>
      <c r="I11" s="120"/>
      <c r="J11" s="120"/>
      <c r="K11" s="120"/>
      <c r="L11" s="120"/>
      <c r="M11" s="120"/>
      <c r="N11" s="74"/>
    </row>
    <row r="12" spans="2:14" x14ac:dyDescent="0.25">
      <c r="B12" s="73"/>
      <c r="C12" s="68"/>
      <c r="D12" s="68"/>
      <c r="E12" s="68"/>
      <c r="F12" s="68"/>
      <c r="G12" s="68"/>
      <c r="H12" s="68"/>
      <c r="I12" s="68"/>
      <c r="J12" s="68"/>
      <c r="K12" s="68"/>
      <c r="L12" s="68"/>
      <c r="M12" s="68"/>
      <c r="N12" s="74"/>
    </row>
    <row r="13" spans="2:14" ht="58.15" customHeight="1" x14ac:dyDescent="0.25">
      <c r="B13" s="73"/>
      <c r="C13" s="118" t="s">
        <v>97</v>
      </c>
      <c r="D13" s="118"/>
      <c r="E13" s="118"/>
      <c r="F13" s="118"/>
      <c r="G13" s="118"/>
      <c r="H13" s="118"/>
      <c r="I13" s="118"/>
      <c r="J13" s="118"/>
      <c r="K13" s="118"/>
      <c r="L13" s="118"/>
      <c r="M13" s="118"/>
      <c r="N13" s="74"/>
    </row>
    <row r="14" spans="2:14" x14ac:dyDescent="0.25">
      <c r="B14" s="73"/>
      <c r="C14" s="69"/>
      <c r="D14" s="69"/>
      <c r="E14" s="69"/>
      <c r="F14" s="69"/>
      <c r="G14" s="69"/>
      <c r="H14" s="69"/>
      <c r="I14" s="69"/>
      <c r="J14" s="69"/>
      <c r="K14" s="69"/>
      <c r="L14" s="69"/>
      <c r="M14" s="69"/>
      <c r="N14" s="74"/>
    </row>
    <row r="15" spans="2:14" ht="43.5" customHeight="1" x14ac:dyDescent="0.25">
      <c r="B15" s="73"/>
      <c r="C15" s="118" t="s">
        <v>98</v>
      </c>
      <c r="D15" s="118"/>
      <c r="E15" s="118"/>
      <c r="F15" s="118"/>
      <c r="G15" s="118"/>
      <c r="H15" s="118"/>
      <c r="I15" s="118"/>
      <c r="J15" s="118"/>
      <c r="K15" s="118"/>
      <c r="L15" s="118"/>
      <c r="M15" s="118"/>
      <c r="N15" s="74"/>
    </row>
    <row r="16" spans="2:14" x14ac:dyDescent="0.25">
      <c r="B16" s="73"/>
      <c r="C16" s="69"/>
      <c r="D16" s="69"/>
      <c r="E16" s="69"/>
      <c r="F16" s="69"/>
      <c r="G16" s="69"/>
      <c r="H16" s="69"/>
      <c r="I16" s="69"/>
      <c r="J16" s="69"/>
      <c r="K16" s="69"/>
      <c r="L16" s="69"/>
      <c r="M16" s="69"/>
      <c r="N16" s="74"/>
    </row>
    <row r="17" spans="2:14" ht="43.5" customHeight="1" x14ac:dyDescent="0.25">
      <c r="B17" s="73"/>
      <c r="C17" s="118" t="s">
        <v>120</v>
      </c>
      <c r="D17" s="118"/>
      <c r="E17" s="118"/>
      <c r="F17" s="118"/>
      <c r="G17" s="118"/>
      <c r="H17" s="118"/>
      <c r="I17" s="118"/>
      <c r="J17" s="118"/>
      <c r="K17" s="118"/>
      <c r="L17" s="118"/>
      <c r="M17" s="118"/>
      <c r="N17" s="74"/>
    </row>
    <row r="18" spans="2:14" ht="14.65" customHeight="1" x14ac:dyDescent="0.25">
      <c r="B18" s="73"/>
      <c r="C18" s="69"/>
      <c r="D18" s="69"/>
      <c r="E18" s="69"/>
      <c r="F18" s="69"/>
      <c r="G18" s="69"/>
      <c r="H18" s="69"/>
      <c r="I18" s="69"/>
      <c r="J18" s="69"/>
      <c r="K18" s="69"/>
      <c r="L18" s="69"/>
      <c r="M18" s="69"/>
      <c r="N18" s="74"/>
    </row>
    <row r="19" spans="2:14" ht="28.9" customHeight="1" x14ac:dyDescent="0.25">
      <c r="B19" s="73"/>
      <c r="C19" s="118" t="s">
        <v>99</v>
      </c>
      <c r="D19" s="118"/>
      <c r="E19" s="118"/>
      <c r="F19" s="118"/>
      <c r="G19" s="118"/>
      <c r="H19" s="118"/>
      <c r="I19" s="118"/>
      <c r="J19" s="118"/>
      <c r="K19" s="118"/>
      <c r="L19" s="118"/>
      <c r="M19" s="118"/>
      <c r="N19" s="74"/>
    </row>
    <row r="20" spans="2:14" x14ac:dyDescent="0.25">
      <c r="B20" s="75"/>
      <c r="C20" s="76"/>
      <c r="D20" s="76"/>
      <c r="E20" s="76"/>
      <c r="F20" s="76"/>
      <c r="G20" s="76"/>
      <c r="H20" s="76"/>
      <c r="I20" s="76"/>
      <c r="J20" s="76"/>
      <c r="K20" s="76"/>
      <c r="L20" s="76"/>
      <c r="M20" s="76"/>
      <c r="N20" s="77"/>
    </row>
  </sheetData>
  <sheetProtection algorithmName="SHA-512" hashValue="uzJCRmUpGmNeNupY9I8/Jl4EPBetaQEQm9hY8vtCBIhIoC9UzxXMbKJVSD0REopJkhmaL/7UerhQvAr2kw4NZA==" saltValue="go4j7X6IJjLVKyjlAluzAQ==" spinCount="100000" sheet="1" objects="1" scenarios="1" selectLockedCells="1" selectUnlockedCells="1"/>
  <mergeCells count="6">
    <mergeCell ref="C19:M19"/>
    <mergeCell ref="C8:M9"/>
    <mergeCell ref="C11:M11"/>
    <mergeCell ref="C13:M13"/>
    <mergeCell ref="C15:M15"/>
    <mergeCell ref="C17:M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2:U75"/>
  <sheetViews>
    <sheetView tabSelected="1" workbookViewId="0">
      <selection activeCell="C29" sqref="C29"/>
    </sheetView>
  </sheetViews>
  <sheetFormatPr defaultColWidth="9.140625" defaultRowHeight="15" x14ac:dyDescent="0.25"/>
  <cols>
    <col min="1" max="2" width="4.5703125" style="79" customWidth="1"/>
    <col min="3" max="6" width="9.140625" style="79"/>
    <col min="7" max="7" width="4.5703125" style="79" customWidth="1"/>
    <col min="8" max="13" width="9.140625" style="79"/>
    <col min="14" max="14" width="4.5703125" style="79" customWidth="1"/>
    <col min="15" max="16384" width="9.140625" style="79"/>
  </cols>
  <sheetData>
    <row r="2" spans="2:14" x14ac:dyDescent="0.25">
      <c r="B2" s="61"/>
      <c r="C2" s="61"/>
      <c r="D2" s="61"/>
      <c r="E2" s="61"/>
      <c r="F2" s="61"/>
      <c r="G2" s="61"/>
      <c r="H2" s="61"/>
      <c r="I2" s="61"/>
      <c r="J2" s="61"/>
      <c r="K2" s="61"/>
      <c r="L2" s="61"/>
      <c r="M2" s="61"/>
      <c r="N2" s="61"/>
    </row>
    <row r="3" spans="2:14" x14ac:dyDescent="0.25">
      <c r="B3" s="61"/>
      <c r="C3" s="61"/>
      <c r="D3" s="61"/>
      <c r="E3" s="61"/>
      <c r="F3" s="61"/>
      <c r="G3" s="61"/>
      <c r="H3" s="61"/>
      <c r="I3" s="61"/>
      <c r="J3" s="61"/>
      <c r="K3" s="61"/>
      <c r="L3" s="61"/>
      <c r="M3" s="61"/>
      <c r="N3" s="61"/>
    </row>
    <row r="4" spans="2:14" x14ac:dyDescent="0.25">
      <c r="B4" s="61"/>
      <c r="C4" s="61"/>
      <c r="D4" s="61"/>
      <c r="E4" s="61"/>
      <c r="F4" s="61"/>
      <c r="G4" s="61"/>
      <c r="H4" s="61"/>
      <c r="I4" s="61"/>
      <c r="J4" s="61"/>
      <c r="K4" s="61"/>
      <c r="L4" s="61"/>
      <c r="M4" s="61"/>
      <c r="N4" s="61"/>
    </row>
    <row r="5" spans="2:14" x14ac:dyDescent="0.25">
      <c r="B5" s="61"/>
      <c r="C5" s="61"/>
      <c r="D5" s="61"/>
      <c r="E5" s="61"/>
      <c r="F5" s="61"/>
      <c r="G5" s="61"/>
      <c r="H5" s="61"/>
      <c r="I5" s="61"/>
      <c r="J5" s="61"/>
      <c r="K5" s="61"/>
      <c r="L5" s="61"/>
      <c r="M5" s="61"/>
      <c r="N5" s="61"/>
    </row>
    <row r="6" spans="2:14" x14ac:dyDescent="0.25">
      <c r="B6" s="61"/>
      <c r="C6" s="61"/>
      <c r="D6" s="61"/>
      <c r="E6" s="61"/>
      <c r="F6" s="61"/>
      <c r="G6" s="61"/>
      <c r="H6" s="61"/>
      <c r="I6" s="61"/>
      <c r="J6" s="61"/>
      <c r="K6" s="61"/>
      <c r="L6" s="61"/>
      <c r="M6" s="61"/>
      <c r="N6" s="61"/>
    </row>
    <row r="7" spans="2:14" x14ac:dyDescent="0.25">
      <c r="B7" s="61"/>
      <c r="C7" s="61"/>
      <c r="D7" s="61"/>
      <c r="E7" s="61"/>
      <c r="F7" s="61"/>
      <c r="G7" s="61"/>
      <c r="H7" s="61"/>
      <c r="I7" s="61"/>
      <c r="J7" s="61"/>
      <c r="K7" s="61"/>
      <c r="L7" s="61"/>
      <c r="M7" s="61"/>
      <c r="N7" s="61"/>
    </row>
    <row r="8" spans="2:14" x14ac:dyDescent="0.25">
      <c r="B8" s="61"/>
      <c r="C8" s="123" t="s">
        <v>121</v>
      </c>
      <c r="D8" s="123"/>
      <c r="E8" s="123"/>
      <c r="F8" s="123"/>
      <c r="G8" s="123"/>
      <c r="H8" s="123"/>
      <c r="I8" s="123"/>
      <c r="J8" s="123"/>
      <c r="K8" s="123"/>
      <c r="L8" s="123"/>
      <c r="M8" s="123"/>
      <c r="N8" s="61"/>
    </row>
    <row r="9" spans="2:14" x14ac:dyDescent="0.25">
      <c r="B9" s="61"/>
      <c r="C9" s="123"/>
      <c r="D9" s="123"/>
      <c r="E9" s="123"/>
      <c r="F9" s="123"/>
      <c r="G9" s="123"/>
      <c r="H9" s="123"/>
      <c r="I9" s="123"/>
      <c r="J9" s="123"/>
      <c r="K9" s="123"/>
      <c r="L9" s="123"/>
      <c r="M9" s="123"/>
      <c r="N9" s="61"/>
    </row>
    <row r="10" spans="2:14" x14ac:dyDescent="0.25">
      <c r="B10" s="61"/>
      <c r="C10" s="61"/>
      <c r="D10" s="61"/>
      <c r="E10" s="61"/>
      <c r="F10" s="61"/>
      <c r="G10" s="61"/>
      <c r="H10" s="61"/>
      <c r="I10" s="61"/>
      <c r="J10" s="61"/>
      <c r="K10" s="61"/>
      <c r="L10" s="61"/>
      <c r="M10" s="61"/>
      <c r="N10" s="61"/>
    </row>
    <row r="11" spans="2:14" x14ac:dyDescent="0.25">
      <c r="B11" s="61"/>
      <c r="C11" s="83" t="s">
        <v>1</v>
      </c>
      <c r="D11" s="61"/>
      <c r="E11" s="61"/>
      <c r="F11" s="61"/>
      <c r="G11" s="61"/>
      <c r="H11" s="61"/>
      <c r="I11" s="61"/>
      <c r="J11" s="61"/>
      <c r="K11" s="61"/>
      <c r="L11" s="61"/>
      <c r="M11" s="61"/>
      <c r="N11" s="61"/>
    </row>
    <row r="12" spans="2:14" x14ac:dyDescent="0.25">
      <c r="B12" s="61"/>
      <c r="C12" s="83"/>
      <c r="D12" s="61"/>
      <c r="E12" s="61"/>
      <c r="F12" s="61"/>
      <c r="G12" s="61"/>
      <c r="H12" s="61"/>
      <c r="I12" s="61"/>
      <c r="J12" s="61"/>
      <c r="K12" s="61"/>
      <c r="L12" s="61"/>
      <c r="M12" s="61"/>
      <c r="N12" s="61"/>
    </row>
    <row r="13" spans="2:14" x14ac:dyDescent="0.25">
      <c r="B13" s="61"/>
      <c r="C13" s="116" t="s">
        <v>169</v>
      </c>
      <c r="D13" s="61"/>
      <c r="E13" s="61" t="s">
        <v>119</v>
      </c>
      <c r="F13" s="61"/>
      <c r="G13" s="61"/>
      <c r="H13" s="61"/>
      <c r="I13" s="61"/>
      <c r="J13" s="61"/>
      <c r="K13" s="61"/>
      <c r="L13" s="61"/>
      <c r="M13" s="61"/>
      <c r="N13" s="61"/>
    </row>
    <row r="14" spans="2:14" x14ac:dyDescent="0.25">
      <c r="B14" s="61"/>
      <c r="C14" s="67"/>
      <c r="D14" s="61"/>
      <c r="E14" s="61"/>
      <c r="F14" s="61"/>
      <c r="G14" s="61"/>
      <c r="H14" s="61"/>
      <c r="I14" s="61"/>
      <c r="J14" s="61"/>
      <c r="K14" s="61"/>
      <c r="L14" s="61"/>
      <c r="M14" s="61"/>
      <c r="N14" s="61"/>
    </row>
    <row r="15" spans="2:14" x14ac:dyDescent="0.25">
      <c r="B15" s="61"/>
      <c r="C15" s="83" t="s">
        <v>100</v>
      </c>
      <c r="D15" s="61"/>
      <c r="E15" s="61"/>
      <c r="F15" s="61"/>
      <c r="G15" s="61"/>
      <c r="H15" s="61"/>
      <c r="I15" s="61"/>
      <c r="J15" s="61"/>
      <c r="K15" s="61"/>
      <c r="L15" s="61"/>
      <c r="M15" s="61"/>
      <c r="N15" s="61"/>
    </row>
    <row r="16" spans="2:14" x14ac:dyDescent="0.25">
      <c r="B16" s="61"/>
      <c r="C16" s="83"/>
      <c r="D16" s="61"/>
      <c r="E16" s="61"/>
      <c r="F16" s="61"/>
      <c r="G16" s="61"/>
      <c r="H16" s="61"/>
      <c r="I16" s="61"/>
      <c r="J16" s="61"/>
      <c r="K16" s="61"/>
      <c r="L16" s="61"/>
      <c r="M16" s="61"/>
      <c r="N16" s="61"/>
    </row>
    <row r="17" spans="2:21" ht="14.65" customHeight="1" x14ac:dyDescent="0.25">
      <c r="B17" s="61"/>
      <c r="C17" s="116" t="s">
        <v>176</v>
      </c>
      <c r="D17" s="61"/>
      <c r="E17" s="124" t="s">
        <v>122</v>
      </c>
      <c r="F17" s="124"/>
      <c r="G17" s="124"/>
      <c r="H17" s="124"/>
      <c r="I17" s="124"/>
      <c r="J17" s="124"/>
      <c r="K17" s="124"/>
      <c r="L17" s="124"/>
      <c r="M17" s="124"/>
      <c r="N17" s="61"/>
      <c r="P17" s="125"/>
      <c r="Q17" s="125"/>
      <c r="R17" s="125"/>
      <c r="S17" s="125"/>
      <c r="T17" s="125"/>
    </row>
    <row r="18" spans="2:21" x14ac:dyDescent="0.25">
      <c r="B18" s="61"/>
      <c r="C18" s="84"/>
      <c r="D18" s="61"/>
      <c r="E18" s="124"/>
      <c r="F18" s="124"/>
      <c r="G18" s="124"/>
      <c r="H18" s="124"/>
      <c r="I18" s="124"/>
      <c r="J18" s="124"/>
      <c r="K18" s="124"/>
      <c r="L18" s="124"/>
      <c r="M18" s="124"/>
      <c r="N18" s="61"/>
      <c r="P18" s="125"/>
      <c r="Q18" s="125"/>
      <c r="R18" s="125"/>
      <c r="S18" s="125"/>
      <c r="T18" s="125"/>
    </row>
    <row r="19" spans="2:21" x14ac:dyDescent="0.25">
      <c r="B19" s="61"/>
      <c r="C19" s="84"/>
      <c r="D19" s="61"/>
      <c r="E19" s="124"/>
      <c r="F19" s="124"/>
      <c r="G19" s="124"/>
      <c r="H19" s="124"/>
      <c r="I19" s="124"/>
      <c r="J19" s="124"/>
      <c r="K19" s="124"/>
      <c r="L19" s="124"/>
      <c r="M19" s="124"/>
      <c r="N19" s="61"/>
      <c r="P19" s="126"/>
      <c r="Q19" s="126"/>
      <c r="R19" s="126"/>
      <c r="S19" s="126"/>
      <c r="T19" s="126"/>
    </row>
    <row r="20" spans="2:21" x14ac:dyDescent="0.25">
      <c r="B20" s="61"/>
      <c r="C20" s="84"/>
      <c r="D20" s="61"/>
      <c r="E20" s="85"/>
      <c r="F20" s="85"/>
      <c r="G20" s="85"/>
      <c r="H20" s="85"/>
      <c r="I20" s="85"/>
      <c r="J20" s="85"/>
      <c r="K20" s="85"/>
      <c r="L20" s="85"/>
      <c r="M20" s="85"/>
      <c r="N20" s="61"/>
      <c r="P20" s="126"/>
      <c r="Q20" s="126"/>
      <c r="R20" s="126"/>
      <c r="S20" s="126"/>
      <c r="T20" s="126"/>
    </row>
    <row r="21" spans="2:21" x14ac:dyDescent="0.25">
      <c r="B21" s="61"/>
      <c r="C21" s="86" t="s">
        <v>101</v>
      </c>
      <c r="D21" s="61"/>
      <c r="E21" s="61"/>
      <c r="F21" s="61"/>
      <c r="G21" s="61"/>
      <c r="H21" s="61"/>
      <c r="I21" s="61"/>
      <c r="J21" s="61"/>
      <c r="K21" s="61"/>
      <c r="L21" s="61"/>
      <c r="M21" s="61"/>
      <c r="N21" s="61"/>
      <c r="P21" s="126"/>
      <c r="Q21" s="126"/>
      <c r="R21" s="126"/>
      <c r="S21" s="126"/>
      <c r="T21" s="126"/>
    </row>
    <row r="22" spans="2:21" x14ac:dyDescent="0.25">
      <c r="B22" s="61"/>
      <c r="C22" s="86"/>
      <c r="D22" s="61"/>
      <c r="E22" s="61"/>
      <c r="F22" s="61"/>
      <c r="G22" s="61"/>
      <c r="H22" s="61"/>
      <c r="I22" s="61"/>
      <c r="J22" s="61"/>
      <c r="K22" s="61"/>
      <c r="L22" s="61"/>
      <c r="M22" s="61"/>
      <c r="N22" s="61"/>
    </row>
    <row r="23" spans="2:21" x14ac:dyDescent="0.25">
      <c r="B23" s="61"/>
      <c r="C23" s="116" t="s">
        <v>171</v>
      </c>
      <c r="D23" s="61"/>
      <c r="E23" s="61" t="s">
        <v>123</v>
      </c>
      <c r="F23" s="61"/>
      <c r="G23" s="61"/>
      <c r="H23" s="61"/>
      <c r="I23" s="61"/>
      <c r="J23" s="61"/>
      <c r="K23" s="61"/>
      <c r="L23" s="61"/>
      <c r="M23" s="61"/>
      <c r="N23" s="61"/>
      <c r="P23" s="125"/>
      <c r="Q23" s="125"/>
      <c r="R23" s="125"/>
      <c r="S23" s="125"/>
      <c r="T23" s="125"/>
    </row>
    <row r="24" spans="2:21" x14ac:dyDescent="0.25">
      <c r="B24" s="61"/>
      <c r="C24" s="61"/>
      <c r="D24" s="61"/>
      <c r="E24" s="61"/>
      <c r="F24" s="61"/>
      <c r="G24" s="61"/>
      <c r="H24" s="61"/>
      <c r="I24" s="61"/>
      <c r="J24" s="61"/>
      <c r="K24" s="61"/>
      <c r="L24" s="61"/>
      <c r="M24" s="61"/>
      <c r="N24" s="61"/>
      <c r="P24" s="125"/>
      <c r="Q24" s="125"/>
      <c r="R24" s="125"/>
      <c r="S24" s="125"/>
      <c r="T24" s="125"/>
    </row>
    <row r="25" spans="2:21" x14ac:dyDescent="0.25">
      <c r="B25" s="61"/>
      <c r="C25" s="87" t="s">
        <v>128</v>
      </c>
      <c r="D25" s="61"/>
      <c r="E25" s="61"/>
      <c r="F25" s="61"/>
      <c r="G25" s="61"/>
      <c r="H25" s="61"/>
      <c r="I25" s="61"/>
      <c r="J25" s="61"/>
      <c r="K25" s="61"/>
      <c r="L25" s="61"/>
      <c r="M25" s="61"/>
      <c r="N25" s="61"/>
      <c r="P25" s="127"/>
      <c r="Q25" s="127"/>
      <c r="R25" s="127"/>
      <c r="S25" s="127"/>
      <c r="T25" s="127"/>
      <c r="U25" s="127"/>
    </row>
    <row r="26" spans="2:21" x14ac:dyDescent="0.25">
      <c r="B26" s="61"/>
      <c r="C26" s="61"/>
      <c r="D26" s="61"/>
      <c r="E26" s="61"/>
      <c r="F26" s="61"/>
      <c r="G26" s="61"/>
      <c r="H26" s="61"/>
      <c r="I26" s="61"/>
      <c r="J26" s="61"/>
      <c r="K26" s="61"/>
      <c r="L26" s="61"/>
      <c r="M26" s="61"/>
      <c r="N26" s="61"/>
      <c r="P26" s="127"/>
      <c r="Q26" s="127"/>
      <c r="R26" s="127"/>
      <c r="S26" s="127"/>
      <c r="T26" s="127"/>
      <c r="U26" s="127"/>
    </row>
    <row r="27" spans="2:21" x14ac:dyDescent="0.25">
      <c r="B27" s="61"/>
      <c r="C27" s="83" t="s">
        <v>102</v>
      </c>
      <c r="D27" s="61"/>
      <c r="E27" s="61"/>
      <c r="F27" s="61"/>
      <c r="G27" s="61"/>
      <c r="H27" s="61"/>
      <c r="I27" s="61"/>
      <c r="J27" s="61"/>
      <c r="K27" s="61"/>
      <c r="L27" s="61"/>
      <c r="M27" s="61"/>
      <c r="N27" s="61"/>
      <c r="P27" s="127"/>
      <c r="Q27" s="127"/>
      <c r="R27" s="127"/>
      <c r="S27" s="127"/>
      <c r="T27" s="127"/>
      <c r="U27" s="127"/>
    </row>
    <row r="28" spans="2:21" x14ac:dyDescent="0.25">
      <c r="B28" s="61"/>
      <c r="C28" s="61"/>
      <c r="D28" s="61"/>
      <c r="E28" s="61"/>
      <c r="F28" s="61"/>
      <c r="G28" s="61"/>
      <c r="H28" s="61"/>
      <c r="I28" s="61"/>
      <c r="J28" s="61"/>
      <c r="K28" s="61"/>
      <c r="L28" s="61"/>
      <c r="M28" s="61"/>
      <c r="N28" s="61"/>
      <c r="P28" s="80"/>
      <c r="Q28" s="80"/>
      <c r="R28" s="80"/>
      <c r="S28" s="80"/>
      <c r="T28" s="80"/>
    </row>
    <row r="29" spans="2:21" x14ac:dyDescent="0.25">
      <c r="B29" s="61"/>
      <c r="C29" s="117">
        <v>1</v>
      </c>
      <c r="D29" s="61"/>
      <c r="E29" s="61" t="s">
        <v>130</v>
      </c>
      <c r="F29" s="61"/>
      <c r="G29" s="61"/>
      <c r="H29" s="61"/>
      <c r="I29" s="61"/>
      <c r="J29" s="61"/>
      <c r="K29" s="61"/>
      <c r="L29" s="61"/>
      <c r="M29" s="61"/>
      <c r="N29" s="61"/>
      <c r="P29" s="80"/>
      <c r="Q29" s="80"/>
      <c r="R29" s="80"/>
      <c r="S29" s="80"/>
      <c r="T29" s="80"/>
    </row>
    <row r="30" spans="2:21" x14ac:dyDescent="0.25">
      <c r="B30" s="61"/>
      <c r="C30" s="61"/>
      <c r="D30" s="61"/>
      <c r="E30" s="61"/>
      <c r="F30" s="61"/>
      <c r="G30" s="61"/>
      <c r="H30" s="61"/>
      <c r="I30" s="61"/>
      <c r="J30" s="61"/>
      <c r="K30" s="61"/>
      <c r="L30" s="61"/>
      <c r="M30" s="61"/>
      <c r="N30" s="61"/>
      <c r="P30" s="80"/>
      <c r="Q30" s="80"/>
      <c r="R30" s="80"/>
      <c r="S30" s="80"/>
      <c r="T30" s="80"/>
    </row>
    <row r="31" spans="2:21" x14ac:dyDescent="0.25">
      <c r="B31" s="61"/>
      <c r="C31" s="83" t="s">
        <v>125</v>
      </c>
      <c r="D31" s="61"/>
      <c r="E31" s="61"/>
      <c r="F31" s="61"/>
      <c r="G31" s="61"/>
      <c r="H31" s="61"/>
      <c r="I31" s="88"/>
      <c r="J31" s="61"/>
      <c r="K31" s="61"/>
      <c r="L31" s="61"/>
      <c r="M31" s="61"/>
      <c r="N31" s="61"/>
    </row>
    <row r="32" spans="2:21" x14ac:dyDescent="0.25">
      <c r="B32" s="61"/>
      <c r="C32" s="83"/>
      <c r="D32" s="61"/>
      <c r="E32" s="61"/>
      <c r="F32" s="61"/>
      <c r="G32" s="61"/>
      <c r="H32" s="61"/>
      <c r="I32" s="88"/>
      <c r="J32" s="61"/>
      <c r="K32" s="61"/>
      <c r="L32" s="61"/>
      <c r="M32" s="61"/>
      <c r="N32" s="61"/>
    </row>
    <row r="33" spans="2:14" x14ac:dyDescent="0.25">
      <c r="B33" s="61"/>
      <c r="C33" s="117">
        <v>0</v>
      </c>
      <c r="D33" s="83" t="s">
        <v>124</v>
      </c>
      <c r="E33" s="89" t="s">
        <v>126</v>
      </c>
      <c r="F33" s="61"/>
      <c r="G33" s="61"/>
      <c r="H33" s="61"/>
      <c r="I33" s="61"/>
      <c r="J33" s="61"/>
      <c r="K33" s="61"/>
      <c r="L33" s="61"/>
      <c r="M33" s="61"/>
      <c r="N33" s="61"/>
    </row>
    <row r="34" spans="2:14" x14ac:dyDescent="0.25">
      <c r="B34" s="61"/>
      <c r="C34" s="61"/>
      <c r="D34" s="61"/>
      <c r="E34" s="61"/>
      <c r="F34" s="61"/>
      <c r="G34" s="61"/>
      <c r="H34" s="61"/>
      <c r="I34" s="61"/>
      <c r="J34" s="61"/>
      <c r="K34" s="61"/>
      <c r="L34" s="61"/>
      <c r="M34" s="61"/>
      <c r="N34" s="61"/>
    </row>
    <row r="35" spans="2:14" x14ac:dyDescent="0.25">
      <c r="B35" s="61"/>
      <c r="C35" s="87" t="s">
        <v>129</v>
      </c>
      <c r="D35" s="61"/>
      <c r="E35" s="61"/>
      <c r="F35" s="61"/>
      <c r="G35" s="61"/>
      <c r="H35" s="61"/>
      <c r="I35" s="61"/>
      <c r="J35" s="61"/>
      <c r="K35" s="61"/>
      <c r="L35" s="61"/>
      <c r="M35" s="61"/>
      <c r="N35" s="61"/>
    </row>
    <row r="36" spans="2:14" x14ac:dyDescent="0.25">
      <c r="B36" s="61"/>
      <c r="C36" s="61"/>
      <c r="D36" s="61"/>
      <c r="E36" s="61"/>
      <c r="F36" s="61"/>
      <c r="G36" s="61"/>
      <c r="H36" s="61"/>
      <c r="I36" s="61"/>
      <c r="J36" s="61"/>
      <c r="K36" s="61"/>
      <c r="L36" s="61"/>
      <c r="M36" s="61"/>
      <c r="N36" s="61"/>
    </row>
    <row r="37" spans="2:14" x14ac:dyDescent="0.25">
      <c r="B37" s="61"/>
      <c r="C37" s="83" t="s">
        <v>132</v>
      </c>
      <c r="D37" s="61"/>
      <c r="E37" s="61"/>
      <c r="F37" s="61"/>
      <c r="G37" s="61"/>
      <c r="H37" s="61"/>
      <c r="I37" s="61"/>
      <c r="J37" s="61"/>
      <c r="K37" s="61"/>
      <c r="L37" s="61"/>
      <c r="M37" s="61"/>
      <c r="N37" s="61"/>
    </row>
    <row r="38" spans="2:14" x14ac:dyDescent="0.25">
      <c r="B38" s="61"/>
      <c r="C38" s="61"/>
      <c r="D38" s="61"/>
      <c r="E38" s="61"/>
      <c r="F38" s="61"/>
      <c r="G38" s="61"/>
      <c r="H38" s="61"/>
      <c r="I38" s="61"/>
      <c r="J38" s="61"/>
      <c r="K38" s="61"/>
      <c r="L38" s="61"/>
      <c r="M38" s="61"/>
      <c r="N38" s="61"/>
    </row>
    <row r="39" spans="2:14" x14ac:dyDescent="0.25">
      <c r="B39" s="61"/>
      <c r="C39" s="116">
        <v>0</v>
      </c>
      <c r="D39" s="90" t="s">
        <v>71</v>
      </c>
      <c r="E39" s="122" t="s">
        <v>131</v>
      </c>
      <c r="F39" s="122"/>
      <c r="G39" s="122"/>
      <c r="H39" s="122"/>
      <c r="I39" s="122"/>
      <c r="J39" s="122"/>
      <c r="K39" s="122"/>
      <c r="L39" s="122"/>
      <c r="M39" s="122"/>
      <c r="N39" s="61"/>
    </row>
    <row r="40" spans="2:14" x14ac:dyDescent="0.25">
      <c r="B40" s="61"/>
      <c r="C40" s="116">
        <v>0</v>
      </c>
      <c r="D40" s="90" t="s">
        <v>72</v>
      </c>
      <c r="E40" s="122"/>
      <c r="F40" s="122"/>
      <c r="G40" s="122"/>
      <c r="H40" s="122"/>
      <c r="I40" s="122"/>
      <c r="J40" s="122"/>
      <c r="K40" s="122"/>
      <c r="L40" s="122"/>
      <c r="M40" s="122"/>
      <c r="N40" s="61"/>
    </row>
    <row r="41" spans="2:14" x14ac:dyDescent="0.25">
      <c r="B41" s="61"/>
      <c r="C41" s="116">
        <v>0</v>
      </c>
      <c r="D41" s="90" t="s">
        <v>73</v>
      </c>
      <c r="E41" s="61"/>
      <c r="F41" s="61"/>
      <c r="G41" s="61"/>
      <c r="H41" s="61"/>
      <c r="I41" s="61"/>
      <c r="J41" s="61"/>
      <c r="K41" s="61"/>
      <c r="L41" s="61"/>
      <c r="M41" s="61"/>
      <c r="N41" s="61"/>
    </row>
    <row r="42" spans="2:14" x14ac:dyDescent="0.25">
      <c r="B42" s="61"/>
      <c r="C42" s="116">
        <v>0</v>
      </c>
      <c r="D42" s="90" t="s">
        <v>74</v>
      </c>
      <c r="E42" s="61"/>
      <c r="F42" s="61"/>
      <c r="G42" s="61"/>
      <c r="H42" s="61"/>
      <c r="I42" s="61"/>
      <c r="J42" s="61"/>
      <c r="K42" s="61"/>
      <c r="L42" s="61"/>
      <c r="M42" s="61"/>
      <c r="N42" s="61"/>
    </row>
    <row r="43" spans="2:14" x14ac:dyDescent="0.25">
      <c r="B43" s="61"/>
      <c r="C43" s="116">
        <v>0</v>
      </c>
      <c r="D43" s="90" t="s">
        <v>75</v>
      </c>
      <c r="E43" s="61"/>
      <c r="F43" s="61"/>
      <c r="G43" s="61"/>
      <c r="H43" s="61"/>
      <c r="I43" s="61"/>
      <c r="J43" s="61"/>
      <c r="K43" s="61"/>
      <c r="L43" s="61"/>
      <c r="M43" s="61"/>
      <c r="N43" s="61"/>
    </row>
    <row r="44" spans="2:14" x14ac:dyDescent="0.25">
      <c r="B44" s="61"/>
      <c r="C44" s="116">
        <v>0</v>
      </c>
      <c r="D44" s="90" t="s">
        <v>76</v>
      </c>
      <c r="E44" s="61"/>
      <c r="F44" s="61"/>
      <c r="G44" s="61"/>
      <c r="H44" s="61"/>
      <c r="I44" s="61"/>
      <c r="J44" s="61"/>
      <c r="K44" s="61"/>
      <c r="L44" s="61"/>
      <c r="M44" s="61"/>
      <c r="N44" s="61"/>
    </row>
    <row r="45" spans="2:14" x14ac:dyDescent="0.25">
      <c r="B45" s="61"/>
      <c r="C45" s="91"/>
      <c r="D45" s="61"/>
      <c r="E45" s="61"/>
      <c r="F45" s="61"/>
      <c r="G45" s="61"/>
      <c r="H45" s="61"/>
      <c r="I45" s="61"/>
      <c r="J45" s="61"/>
      <c r="K45" s="61"/>
      <c r="L45" s="61"/>
      <c r="M45" s="61"/>
      <c r="N45" s="61"/>
    </row>
    <row r="46" spans="2:14" x14ac:dyDescent="0.25">
      <c r="B46" s="61"/>
      <c r="C46" s="83" t="s">
        <v>127</v>
      </c>
      <c r="D46" s="61"/>
      <c r="E46" s="61"/>
      <c r="F46" s="61"/>
      <c r="G46" s="61"/>
      <c r="H46" s="61"/>
      <c r="I46" s="61"/>
      <c r="J46" s="61"/>
      <c r="K46" s="61"/>
      <c r="L46" s="61"/>
      <c r="M46" s="61"/>
      <c r="N46" s="61"/>
    </row>
    <row r="47" spans="2:14" x14ac:dyDescent="0.25">
      <c r="B47" s="61"/>
      <c r="C47" s="83"/>
      <c r="D47" s="61"/>
      <c r="E47" s="61"/>
      <c r="F47" s="61"/>
      <c r="G47" s="61"/>
      <c r="H47" s="61"/>
      <c r="I47" s="61"/>
      <c r="J47" s="61"/>
      <c r="K47" s="61"/>
      <c r="L47" s="61"/>
      <c r="M47" s="61"/>
      <c r="N47" s="61"/>
    </row>
    <row r="48" spans="2:14" x14ac:dyDescent="0.25">
      <c r="B48" s="61"/>
      <c r="C48" s="117">
        <v>0</v>
      </c>
      <c r="D48" s="83" t="s">
        <v>124</v>
      </c>
      <c r="E48" s="89" t="s">
        <v>126</v>
      </c>
      <c r="F48" s="61"/>
      <c r="G48" s="61"/>
      <c r="H48" s="61"/>
      <c r="I48" s="61"/>
      <c r="J48" s="61"/>
      <c r="K48" s="61"/>
      <c r="L48" s="61"/>
      <c r="M48" s="61"/>
      <c r="N48" s="61"/>
    </row>
    <row r="49" spans="2:20" x14ac:dyDescent="0.25">
      <c r="B49" s="61"/>
      <c r="C49" s="61"/>
      <c r="D49" s="61"/>
      <c r="E49" s="61"/>
      <c r="F49" s="61"/>
      <c r="G49" s="61"/>
      <c r="H49" s="61"/>
      <c r="I49" s="61"/>
      <c r="J49" s="61"/>
      <c r="K49" s="61"/>
      <c r="L49" s="61"/>
      <c r="M49" s="61"/>
      <c r="N49" s="61"/>
    </row>
    <row r="50" spans="2:20" x14ac:dyDescent="0.25">
      <c r="B50" s="61"/>
      <c r="C50" s="83" t="s">
        <v>103</v>
      </c>
      <c r="D50" s="61"/>
      <c r="E50" s="61"/>
      <c r="F50" s="61"/>
      <c r="G50" s="61"/>
      <c r="H50" s="61"/>
      <c r="I50" s="61"/>
      <c r="J50" s="61"/>
      <c r="K50" s="61"/>
      <c r="L50" s="61"/>
      <c r="M50" s="61"/>
      <c r="N50" s="61"/>
      <c r="P50" s="121"/>
      <c r="Q50" s="121"/>
      <c r="R50" s="121"/>
      <c r="S50" s="121"/>
      <c r="T50" s="121"/>
    </row>
    <row r="51" spans="2:20" x14ac:dyDescent="0.25">
      <c r="B51" s="61"/>
      <c r="C51" s="61"/>
      <c r="D51" s="61"/>
      <c r="E51" s="61"/>
      <c r="F51" s="61"/>
      <c r="G51" s="61"/>
      <c r="H51" s="61"/>
      <c r="I51" s="61"/>
      <c r="J51" s="61"/>
      <c r="K51" s="61"/>
      <c r="L51" s="61"/>
      <c r="M51" s="61"/>
      <c r="N51" s="61"/>
    </row>
    <row r="52" spans="2:20" ht="14.65" customHeight="1" x14ac:dyDescent="0.25">
      <c r="B52" s="61"/>
      <c r="C52" s="116">
        <v>0</v>
      </c>
      <c r="D52" s="83" t="s">
        <v>104</v>
      </c>
      <c r="E52" s="83"/>
      <c r="F52" s="61"/>
      <c r="G52" s="122" t="s">
        <v>133</v>
      </c>
      <c r="H52" s="122"/>
      <c r="I52" s="122"/>
      <c r="J52" s="122"/>
      <c r="K52" s="122"/>
      <c r="L52" s="122"/>
      <c r="M52" s="122"/>
      <c r="N52" s="92"/>
      <c r="O52" s="81"/>
    </row>
    <row r="53" spans="2:20" x14ac:dyDescent="0.25">
      <c r="B53" s="61"/>
      <c r="C53" s="116">
        <v>0</v>
      </c>
      <c r="D53" s="83" t="s">
        <v>105</v>
      </c>
      <c r="E53" s="83"/>
      <c r="F53" s="61"/>
      <c r="G53" s="122"/>
      <c r="H53" s="122"/>
      <c r="I53" s="122"/>
      <c r="J53" s="122"/>
      <c r="K53" s="122"/>
      <c r="L53" s="122"/>
      <c r="M53" s="122"/>
      <c r="N53" s="92"/>
      <c r="O53" s="81"/>
    </row>
    <row r="54" spans="2:20" x14ac:dyDescent="0.25">
      <c r="B54" s="61"/>
      <c r="C54" s="116">
        <v>0</v>
      </c>
      <c r="D54" s="83" t="s">
        <v>106</v>
      </c>
      <c r="E54" s="83"/>
      <c r="F54" s="61"/>
      <c r="G54" s="92"/>
      <c r="H54" s="92"/>
      <c r="I54" s="92"/>
      <c r="J54" s="92"/>
      <c r="K54" s="92"/>
      <c r="L54" s="92"/>
      <c r="M54" s="92"/>
      <c r="N54" s="61"/>
    </row>
    <row r="55" spans="2:20" x14ac:dyDescent="0.25">
      <c r="B55" s="61"/>
      <c r="C55" s="116">
        <v>0</v>
      </c>
      <c r="D55" s="83" t="s">
        <v>107</v>
      </c>
      <c r="E55" s="83"/>
      <c r="F55" s="61"/>
      <c r="G55" s="61"/>
      <c r="H55" s="61"/>
      <c r="I55" s="61"/>
      <c r="J55" s="61"/>
      <c r="K55" s="61"/>
      <c r="L55" s="61"/>
      <c r="M55" s="61"/>
      <c r="N55" s="61"/>
    </row>
    <row r="56" spans="2:20" x14ac:dyDescent="0.25">
      <c r="B56" s="61"/>
      <c r="C56" s="116">
        <v>0</v>
      </c>
      <c r="D56" s="83" t="s">
        <v>108</v>
      </c>
      <c r="E56" s="83"/>
      <c r="F56" s="61"/>
      <c r="G56" s="61"/>
      <c r="H56" s="61"/>
      <c r="I56" s="61"/>
      <c r="J56" s="61"/>
      <c r="K56" s="61"/>
      <c r="L56" s="61"/>
      <c r="M56" s="61"/>
      <c r="N56" s="61"/>
    </row>
    <row r="57" spans="2:20" x14ac:dyDescent="0.25">
      <c r="B57" s="61"/>
      <c r="C57" s="116">
        <v>0</v>
      </c>
      <c r="D57" s="83" t="s">
        <v>109</v>
      </c>
      <c r="E57" s="83"/>
      <c r="F57" s="61"/>
      <c r="G57" s="61"/>
      <c r="H57" s="61"/>
      <c r="I57" s="61"/>
      <c r="J57" s="61"/>
      <c r="K57" s="61"/>
      <c r="L57" s="61"/>
      <c r="M57" s="61"/>
      <c r="N57" s="61"/>
    </row>
    <row r="58" spans="2:20" x14ac:dyDescent="0.25">
      <c r="B58" s="61"/>
      <c r="C58" s="116">
        <v>0</v>
      </c>
      <c r="D58" s="83" t="s">
        <v>110</v>
      </c>
      <c r="E58" s="83"/>
      <c r="F58" s="61"/>
      <c r="G58" s="61"/>
      <c r="H58" s="61"/>
      <c r="I58" s="61"/>
      <c r="J58" s="61"/>
      <c r="K58" s="61"/>
      <c r="L58" s="61"/>
      <c r="M58" s="61"/>
      <c r="N58" s="61"/>
    </row>
    <row r="59" spans="2:20" x14ac:dyDescent="0.25">
      <c r="B59" s="61"/>
      <c r="C59" s="116">
        <v>0</v>
      </c>
      <c r="D59" s="83" t="s">
        <v>111</v>
      </c>
      <c r="E59" s="83"/>
      <c r="F59" s="61"/>
      <c r="G59" s="61"/>
      <c r="H59" s="61"/>
      <c r="I59" s="61"/>
      <c r="J59" s="61"/>
      <c r="K59" s="61"/>
      <c r="L59" s="61"/>
      <c r="M59" s="61"/>
      <c r="N59" s="61"/>
    </row>
    <row r="60" spans="2:20" x14ac:dyDescent="0.25">
      <c r="B60" s="61"/>
      <c r="C60" s="116">
        <v>0</v>
      </c>
      <c r="D60" s="83" t="s">
        <v>112</v>
      </c>
      <c r="E60" s="83"/>
      <c r="F60" s="61"/>
      <c r="G60" s="61"/>
      <c r="H60" s="61"/>
      <c r="I60" s="61"/>
      <c r="J60" s="61"/>
      <c r="K60" s="61"/>
      <c r="L60" s="61"/>
      <c r="M60" s="61"/>
      <c r="N60" s="61"/>
    </row>
    <row r="61" spans="2:20" x14ac:dyDescent="0.25">
      <c r="B61" s="61"/>
      <c r="C61" s="116">
        <v>0</v>
      </c>
      <c r="D61" s="83" t="s">
        <v>113</v>
      </c>
      <c r="E61" s="83"/>
      <c r="F61" s="61"/>
      <c r="G61" s="61"/>
      <c r="H61" s="61"/>
      <c r="I61" s="61"/>
      <c r="J61" s="61"/>
      <c r="K61" s="61"/>
      <c r="L61" s="61"/>
      <c r="M61" s="61"/>
      <c r="N61" s="61"/>
    </row>
    <row r="62" spans="2:20" x14ac:dyDescent="0.25">
      <c r="B62" s="61"/>
      <c r="C62" s="116">
        <v>0</v>
      </c>
      <c r="D62" s="83" t="s">
        <v>114</v>
      </c>
      <c r="E62" s="83"/>
      <c r="F62" s="61"/>
      <c r="G62" s="61"/>
      <c r="H62" s="61"/>
      <c r="I62" s="61"/>
      <c r="J62" s="61"/>
      <c r="K62" s="61"/>
      <c r="L62" s="61"/>
      <c r="M62" s="61"/>
      <c r="N62" s="61"/>
    </row>
    <row r="63" spans="2:20" x14ac:dyDescent="0.25">
      <c r="B63" s="61"/>
      <c r="C63" s="116">
        <v>0</v>
      </c>
      <c r="D63" s="83" t="s">
        <v>115</v>
      </c>
      <c r="E63" s="83"/>
      <c r="F63" s="61"/>
      <c r="G63" s="61"/>
      <c r="H63" s="61"/>
      <c r="I63" s="61"/>
      <c r="J63" s="61"/>
      <c r="K63" s="61"/>
      <c r="L63" s="61"/>
      <c r="M63" s="61"/>
      <c r="N63" s="61"/>
    </row>
    <row r="64" spans="2:20" x14ac:dyDescent="0.25">
      <c r="B64" s="61"/>
      <c r="C64" s="116">
        <v>0</v>
      </c>
      <c r="D64" s="83" t="s">
        <v>116</v>
      </c>
      <c r="E64" s="83"/>
      <c r="F64" s="61"/>
      <c r="G64" s="61"/>
      <c r="H64" s="61"/>
      <c r="I64" s="61"/>
      <c r="J64" s="61"/>
      <c r="K64" s="61"/>
      <c r="L64" s="61"/>
      <c r="M64" s="61"/>
      <c r="N64" s="61"/>
    </row>
    <row r="65" spans="2:14" x14ac:dyDescent="0.25">
      <c r="B65" s="61"/>
      <c r="C65" s="116">
        <v>0</v>
      </c>
      <c r="D65" s="83" t="s">
        <v>117</v>
      </c>
      <c r="E65" s="83"/>
      <c r="F65" s="61"/>
      <c r="G65" s="61"/>
      <c r="H65" s="61"/>
      <c r="I65" s="61"/>
      <c r="J65" s="61"/>
      <c r="K65" s="61"/>
      <c r="L65" s="61"/>
      <c r="M65" s="61"/>
      <c r="N65" s="61"/>
    </row>
    <row r="66" spans="2:14" x14ac:dyDescent="0.25">
      <c r="B66" s="61"/>
      <c r="C66" s="116">
        <v>0</v>
      </c>
      <c r="D66" s="83" t="s">
        <v>118</v>
      </c>
      <c r="E66" s="83"/>
      <c r="F66" s="61"/>
      <c r="G66" s="61"/>
      <c r="H66" s="61"/>
      <c r="I66" s="61"/>
      <c r="J66" s="61"/>
      <c r="K66" s="61"/>
      <c r="L66" s="61"/>
      <c r="M66" s="61"/>
      <c r="N66" s="61"/>
    </row>
    <row r="67" spans="2:14" x14ac:dyDescent="0.25">
      <c r="B67" s="61"/>
      <c r="C67" s="93"/>
      <c r="D67" s="83"/>
      <c r="E67" s="83"/>
      <c r="F67" s="61"/>
      <c r="G67" s="61"/>
      <c r="H67" s="61"/>
      <c r="I67" s="61"/>
      <c r="J67" s="61"/>
      <c r="K67" s="61"/>
      <c r="L67" s="61"/>
      <c r="M67" s="61"/>
      <c r="N67" s="61"/>
    </row>
    <row r="68" spans="2:14" x14ac:dyDescent="0.25">
      <c r="B68" s="61"/>
      <c r="C68" s="94" t="s">
        <v>81</v>
      </c>
      <c r="D68" s="83"/>
      <c r="E68" s="83"/>
      <c r="F68" s="61"/>
      <c r="G68" s="61"/>
      <c r="H68" s="61"/>
      <c r="I68" s="61"/>
      <c r="J68" s="61"/>
      <c r="K68" s="61"/>
      <c r="L68" s="61"/>
      <c r="M68" s="61"/>
      <c r="N68" s="61"/>
    </row>
    <row r="69" spans="2:14" x14ac:dyDescent="0.25">
      <c r="B69" s="61"/>
      <c r="C69" s="95"/>
      <c r="D69" s="83"/>
      <c r="E69" s="83"/>
      <c r="F69" s="61"/>
      <c r="G69" s="61"/>
      <c r="H69" s="61"/>
      <c r="I69" s="61"/>
      <c r="J69" s="61"/>
      <c r="K69" s="61"/>
      <c r="L69" s="61"/>
      <c r="M69" s="61"/>
      <c r="N69" s="61"/>
    </row>
    <row r="70" spans="2:14" x14ac:dyDescent="0.25">
      <c r="B70" s="61"/>
      <c r="C70" s="96" t="s">
        <v>134</v>
      </c>
      <c r="D70" s="83"/>
      <c r="E70" s="83"/>
      <c r="F70" s="61"/>
      <c r="G70" s="61"/>
      <c r="H70" s="61"/>
      <c r="I70" s="61"/>
      <c r="J70" s="61"/>
      <c r="K70" s="61"/>
      <c r="L70" s="61"/>
      <c r="M70" s="61"/>
      <c r="N70" s="61"/>
    </row>
    <row r="71" spans="2:14" x14ac:dyDescent="0.25">
      <c r="B71" s="61"/>
      <c r="C71" s="93"/>
      <c r="D71" s="83"/>
      <c r="E71" s="83"/>
      <c r="F71" s="61"/>
      <c r="G71" s="61"/>
      <c r="H71" s="61"/>
      <c r="I71" s="61"/>
      <c r="J71" s="61"/>
      <c r="K71" s="61"/>
      <c r="L71" s="61"/>
      <c r="M71" s="61"/>
      <c r="N71" s="61"/>
    </row>
    <row r="72" spans="2:14" x14ac:dyDescent="0.25">
      <c r="B72" s="61"/>
      <c r="C72" s="83" t="s">
        <v>135</v>
      </c>
      <c r="D72" s="61"/>
      <c r="E72" s="61"/>
      <c r="F72" s="61"/>
      <c r="G72" s="61"/>
      <c r="H72" s="61"/>
      <c r="I72" s="61"/>
      <c r="J72" s="61"/>
      <c r="K72" s="61"/>
      <c r="L72" s="61"/>
      <c r="M72" s="61"/>
      <c r="N72" s="61"/>
    </row>
    <row r="73" spans="2:14" s="82" customFormat="1" x14ac:dyDescent="0.25">
      <c r="B73" s="97"/>
      <c r="C73" s="98"/>
      <c r="D73" s="97"/>
      <c r="E73" s="97"/>
      <c r="F73" s="97"/>
      <c r="G73" s="97"/>
      <c r="H73" s="99"/>
      <c r="I73" s="97"/>
      <c r="J73" s="97"/>
      <c r="K73" s="97"/>
      <c r="L73" s="97"/>
      <c r="M73" s="97"/>
      <c r="N73" s="97"/>
    </row>
    <row r="74" spans="2:14" x14ac:dyDescent="0.25">
      <c r="B74" s="61"/>
      <c r="C74" s="96" t="s">
        <v>134</v>
      </c>
      <c r="D74" s="61"/>
      <c r="E74" s="61"/>
      <c r="F74" s="61"/>
      <c r="G74" s="61"/>
      <c r="H74" s="61"/>
      <c r="I74" s="61"/>
      <c r="J74" s="61"/>
      <c r="K74" s="61"/>
      <c r="L74" s="61"/>
      <c r="M74" s="61"/>
      <c r="N74" s="61"/>
    </row>
    <row r="75" spans="2:14" x14ac:dyDescent="0.25">
      <c r="B75" s="61"/>
      <c r="C75" s="61"/>
      <c r="D75" s="61"/>
      <c r="E75" s="61"/>
      <c r="F75" s="61"/>
      <c r="G75" s="61"/>
      <c r="H75" s="61"/>
      <c r="I75" s="61"/>
      <c r="J75" s="61"/>
      <c r="K75" s="61"/>
      <c r="L75" s="61"/>
      <c r="M75" s="61"/>
      <c r="N75" s="61"/>
    </row>
  </sheetData>
  <sheetProtection algorithmName="SHA-512" hashValue="WNZWsUzJhMkKnYuqpVTqfQ2SX45n/IlLlzEb521XfcYQi1gM00JB3efRA1LZKUmfTexs3u1GxySAxw5oT8ekuA==" saltValue="NKH6Q5lEf7No8t0sLi29GA==" spinCount="100000" sheet="1" objects="1" scenarios="1" selectLockedCells="1"/>
  <mergeCells count="9">
    <mergeCell ref="P50:T50"/>
    <mergeCell ref="G52:M53"/>
    <mergeCell ref="C8:M9"/>
    <mergeCell ref="E17:M19"/>
    <mergeCell ref="P23:T24"/>
    <mergeCell ref="P17:T18"/>
    <mergeCell ref="E39:M40"/>
    <mergeCell ref="P19:T21"/>
    <mergeCell ref="P25:U2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Tariffs!$A$2:$A$3</xm:f>
          </x14:formula1>
          <xm:sqref>C13</xm:sqref>
        </x14:dataValidation>
        <x14:dataValidation type="list" allowBlank="1" showInputMessage="1" showErrorMessage="1" xr:uid="{00000000-0002-0000-0100-000001000000}">
          <x14:formula1>
            <xm:f>Tariffs!$B$2:$B$3</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N50"/>
  <sheetViews>
    <sheetView workbookViewId="0">
      <selection activeCell="C13" sqref="C13:E13"/>
    </sheetView>
  </sheetViews>
  <sheetFormatPr defaultColWidth="9.140625" defaultRowHeight="15" x14ac:dyDescent="0.25"/>
  <cols>
    <col min="1" max="2" width="4.5703125" style="100" customWidth="1"/>
    <col min="3" max="6" width="9.140625" style="100"/>
    <col min="7" max="7" width="4.5703125" style="100" customWidth="1"/>
    <col min="8" max="13" width="9.140625" style="100"/>
    <col min="14" max="14" width="4.5703125" style="100" customWidth="1"/>
    <col min="15" max="16384" width="9.140625" style="100"/>
  </cols>
  <sheetData>
    <row r="2" spans="2:14" x14ac:dyDescent="0.25">
      <c r="B2" s="61"/>
      <c r="C2" s="61"/>
      <c r="D2" s="61"/>
      <c r="E2" s="61"/>
      <c r="F2" s="61"/>
      <c r="G2" s="61"/>
      <c r="H2" s="61"/>
      <c r="I2" s="61"/>
      <c r="J2" s="61"/>
      <c r="K2" s="61"/>
      <c r="L2" s="61"/>
      <c r="M2" s="61"/>
      <c r="N2" s="61"/>
    </row>
    <row r="3" spans="2:14" x14ac:dyDescent="0.25">
      <c r="B3" s="61"/>
      <c r="C3" s="61"/>
      <c r="D3" s="61"/>
      <c r="E3" s="61"/>
      <c r="F3" s="61"/>
      <c r="G3" s="61"/>
      <c r="H3" s="61"/>
      <c r="I3" s="61"/>
      <c r="J3" s="61"/>
      <c r="K3" s="61"/>
      <c r="L3" s="61"/>
      <c r="M3" s="61"/>
      <c r="N3" s="61"/>
    </row>
    <row r="4" spans="2:14" x14ac:dyDescent="0.25">
      <c r="B4" s="61"/>
      <c r="C4" s="61"/>
      <c r="D4" s="61"/>
      <c r="E4" s="61"/>
      <c r="F4" s="61"/>
      <c r="G4" s="61"/>
      <c r="H4" s="61"/>
      <c r="I4" s="61"/>
      <c r="J4" s="61"/>
      <c r="K4" s="61"/>
      <c r="L4" s="61"/>
      <c r="M4" s="61"/>
      <c r="N4" s="61"/>
    </row>
    <row r="5" spans="2:14" x14ac:dyDescent="0.25">
      <c r="B5" s="61"/>
      <c r="C5" s="61"/>
      <c r="D5" s="61"/>
      <c r="E5" s="61"/>
      <c r="F5" s="61"/>
      <c r="G5" s="61"/>
      <c r="H5" s="61"/>
      <c r="I5" s="61"/>
      <c r="J5" s="61"/>
      <c r="K5" s="61"/>
      <c r="L5" s="61"/>
      <c r="M5" s="61"/>
      <c r="N5" s="61"/>
    </row>
    <row r="6" spans="2:14" x14ac:dyDescent="0.25">
      <c r="B6" s="61"/>
      <c r="C6" s="61"/>
      <c r="D6" s="61"/>
      <c r="E6" s="61"/>
      <c r="F6" s="61"/>
      <c r="G6" s="61"/>
      <c r="H6" s="61"/>
      <c r="I6" s="61"/>
      <c r="J6" s="61"/>
      <c r="K6" s="61"/>
      <c r="L6" s="61"/>
      <c r="M6" s="61"/>
      <c r="N6" s="61"/>
    </row>
    <row r="7" spans="2:14" x14ac:dyDescent="0.25">
      <c r="B7" s="61"/>
      <c r="C7" s="61"/>
      <c r="D7" s="61"/>
      <c r="E7" s="61"/>
      <c r="F7" s="61"/>
      <c r="G7" s="61"/>
      <c r="H7" s="61"/>
      <c r="I7" s="61"/>
      <c r="J7" s="61"/>
      <c r="K7" s="61"/>
      <c r="L7" s="61"/>
      <c r="M7" s="61"/>
      <c r="N7" s="61"/>
    </row>
    <row r="8" spans="2:14" x14ac:dyDescent="0.25">
      <c r="B8" s="61"/>
      <c r="C8" s="134" t="s">
        <v>137</v>
      </c>
      <c r="D8" s="134"/>
      <c r="E8" s="134"/>
      <c r="F8" s="134"/>
      <c r="G8" s="134"/>
      <c r="H8" s="134"/>
      <c r="I8" s="134"/>
      <c r="J8" s="134"/>
      <c r="K8" s="134"/>
      <c r="L8" s="134"/>
      <c r="M8" s="134"/>
      <c r="N8" s="61"/>
    </row>
    <row r="9" spans="2:14" x14ac:dyDescent="0.25">
      <c r="B9" s="61"/>
      <c r="C9" s="134"/>
      <c r="D9" s="134"/>
      <c r="E9" s="134"/>
      <c r="F9" s="134"/>
      <c r="G9" s="134"/>
      <c r="H9" s="134"/>
      <c r="I9" s="134"/>
      <c r="J9" s="134"/>
      <c r="K9" s="134"/>
      <c r="L9" s="134"/>
      <c r="M9" s="134"/>
      <c r="N9" s="61"/>
    </row>
    <row r="10" spans="2:14" x14ac:dyDescent="0.25">
      <c r="B10" s="61"/>
      <c r="C10" s="61"/>
      <c r="D10" s="61"/>
      <c r="E10" s="61"/>
      <c r="F10" s="61"/>
      <c r="G10" s="61"/>
      <c r="H10" s="61"/>
      <c r="I10" s="61"/>
      <c r="J10" s="61"/>
      <c r="K10" s="61"/>
      <c r="L10" s="61"/>
      <c r="M10" s="61"/>
      <c r="N10" s="61"/>
    </row>
    <row r="11" spans="2:14" x14ac:dyDescent="0.25">
      <c r="B11" s="61"/>
      <c r="C11" s="83" t="s">
        <v>136</v>
      </c>
      <c r="D11" s="61"/>
      <c r="E11" s="61"/>
      <c r="F11" s="61"/>
      <c r="G11" s="61"/>
      <c r="H11" s="61"/>
      <c r="I11" s="61"/>
      <c r="J11" s="61"/>
      <c r="K11" s="61"/>
      <c r="L11" s="61"/>
      <c r="M11" s="61"/>
      <c r="N11" s="61"/>
    </row>
    <row r="12" spans="2:14" x14ac:dyDescent="0.25">
      <c r="B12" s="61"/>
      <c r="C12" s="83"/>
      <c r="D12" s="61"/>
      <c r="E12" s="61"/>
      <c r="F12" s="61"/>
      <c r="G12" s="61"/>
      <c r="H12" s="61"/>
      <c r="I12" s="61"/>
      <c r="J12" s="61"/>
      <c r="K12" s="61"/>
      <c r="L12" s="61"/>
      <c r="M12" s="61"/>
      <c r="N12" s="61"/>
    </row>
    <row r="13" spans="2:14" x14ac:dyDescent="0.25">
      <c r="B13" s="61"/>
      <c r="C13" s="128">
        <f>SUM(C17:E41)</f>
        <v>51.830000000000005</v>
      </c>
      <c r="D13" s="129"/>
      <c r="E13" s="130"/>
      <c r="F13" s="61" t="s">
        <v>138</v>
      </c>
      <c r="G13" s="61"/>
      <c r="H13" s="61"/>
      <c r="I13" s="61"/>
      <c r="J13" s="61"/>
      <c r="K13" s="61"/>
      <c r="L13" s="61"/>
      <c r="M13" s="61"/>
      <c r="N13" s="61"/>
    </row>
    <row r="14" spans="2:14" x14ac:dyDescent="0.25">
      <c r="B14" s="61"/>
      <c r="C14" s="104"/>
      <c r="D14" s="105"/>
      <c r="E14" s="105"/>
      <c r="F14" s="61"/>
      <c r="G14" s="61"/>
      <c r="H14" s="61"/>
      <c r="I14" s="61"/>
      <c r="J14" s="61"/>
      <c r="K14" s="61"/>
      <c r="L14" s="61"/>
      <c r="M14" s="61"/>
      <c r="N14" s="61"/>
    </row>
    <row r="15" spans="2:14" x14ac:dyDescent="0.25">
      <c r="B15" s="61"/>
      <c r="C15" s="106" t="s">
        <v>155</v>
      </c>
      <c r="D15" s="105"/>
      <c r="E15" s="105"/>
      <c r="F15" s="61"/>
      <c r="G15" s="61"/>
      <c r="H15" s="61"/>
      <c r="I15" s="61"/>
      <c r="J15" s="61"/>
      <c r="K15" s="61"/>
      <c r="L15" s="61"/>
      <c r="M15" s="61"/>
      <c r="N15" s="61"/>
    </row>
    <row r="16" spans="2:14" x14ac:dyDescent="0.25">
      <c r="B16" s="61"/>
      <c r="C16" s="105"/>
      <c r="D16" s="105"/>
      <c r="E16" s="105"/>
      <c r="F16" s="61"/>
      <c r="G16" s="61"/>
      <c r="H16" s="61"/>
      <c r="I16" s="61"/>
      <c r="J16" s="61"/>
      <c r="K16" s="61"/>
      <c r="L16" s="61"/>
      <c r="M16" s="61"/>
      <c r="N16" s="61"/>
    </row>
    <row r="17" spans="2:14" ht="14.65" customHeight="1" x14ac:dyDescent="0.25">
      <c r="B17" s="61"/>
      <c r="C17" s="128">
        <f>IF('Input Site Information'!$C$17="W",'Post April 2018 - Water'!$F$24,IF('Input Site Information'!$C$17="C",'Post April 2018 - Water'!$F$24,0))</f>
        <v>0</v>
      </c>
      <c r="D17" s="129"/>
      <c r="E17" s="130"/>
      <c r="F17" s="61"/>
      <c r="G17" s="102" t="s">
        <v>156</v>
      </c>
      <c r="H17" s="92"/>
      <c r="I17" s="92"/>
      <c r="J17" s="92"/>
      <c r="K17" s="92"/>
      <c r="L17" s="92"/>
      <c r="M17" s="92"/>
      <c r="N17" s="61"/>
    </row>
    <row r="18" spans="2:14" x14ac:dyDescent="0.25">
      <c r="B18" s="61"/>
      <c r="C18" s="107"/>
      <c r="D18" s="108"/>
      <c r="E18" s="109"/>
      <c r="F18" s="102"/>
      <c r="G18" s="92"/>
      <c r="H18" s="92"/>
      <c r="I18" s="92"/>
      <c r="J18" s="92"/>
      <c r="K18" s="92"/>
      <c r="L18" s="92"/>
      <c r="M18" s="92"/>
      <c r="N18" s="61"/>
    </row>
    <row r="19" spans="2:14" x14ac:dyDescent="0.25">
      <c r="B19" s="61"/>
      <c r="C19" s="128">
        <f>IF('Input Site Information'!$C$17="W",'Post April 2018 - Water'!$F$36,IF('Input Site Information'!$C$17="C",'Post April 2018 - Water'!$F$36,0))</f>
        <v>0</v>
      </c>
      <c r="D19" s="129"/>
      <c r="E19" s="130"/>
      <c r="F19" s="61"/>
      <c r="G19" s="102" t="s">
        <v>157</v>
      </c>
      <c r="H19" s="92"/>
      <c r="I19" s="92"/>
      <c r="J19" s="61"/>
      <c r="K19" s="61"/>
      <c r="L19" s="61"/>
      <c r="M19" s="61"/>
      <c r="N19" s="61"/>
    </row>
    <row r="20" spans="2:14" x14ac:dyDescent="0.25">
      <c r="B20" s="61"/>
      <c r="C20" s="107"/>
      <c r="D20" s="108"/>
      <c r="E20" s="105"/>
      <c r="F20" s="103"/>
      <c r="G20" s="61"/>
      <c r="H20" s="61"/>
      <c r="I20" s="61"/>
      <c r="J20" s="61"/>
      <c r="K20" s="61"/>
      <c r="L20" s="61"/>
      <c r="M20" s="61"/>
      <c r="N20" s="61"/>
    </row>
    <row r="21" spans="2:14" x14ac:dyDescent="0.25">
      <c r="B21" s="61"/>
      <c r="C21" s="128">
        <f>IF('Input Site Information'!$C$17="W",'Post April 2018 - Water'!$F$25,IF('Input Site Information'!$C$17="C",'Post April 2018 - Water'!$F$25,0))</f>
        <v>20.200000000000003</v>
      </c>
      <c r="D21" s="129"/>
      <c r="E21" s="130"/>
      <c r="F21" s="61"/>
      <c r="G21" s="102" t="s">
        <v>158</v>
      </c>
      <c r="H21" s="92"/>
      <c r="I21" s="92"/>
      <c r="J21" s="61"/>
      <c r="K21" s="61"/>
      <c r="L21" s="61"/>
      <c r="M21" s="61"/>
      <c r="N21" s="61"/>
    </row>
    <row r="22" spans="2:14" x14ac:dyDescent="0.25">
      <c r="B22" s="61"/>
      <c r="C22" s="107"/>
      <c r="D22" s="108"/>
      <c r="E22" s="109"/>
      <c r="F22" s="102"/>
      <c r="G22" s="92"/>
      <c r="H22" s="92"/>
      <c r="I22" s="61"/>
      <c r="J22" s="61"/>
      <c r="K22" s="61"/>
      <c r="L22" s="61"/>
      <c r="M22" s="61"/>
      <c r="N22" s="61"/>
    </row>
    <row r="23" spans="2:14" x14ac:dyDescent="0.25">
      <c r="B23" s="61"/>
      <c r="C23" s="128">
        <f>IF('Input Site Information'!$C$17="W",'Post April 2018 - Water'!$F$37,IF('Input Site Information'!$C$17="C",'Post April 2018 - Water'!$F$37,0))</f>
        <v>0</v>
      </c>
      <c r="D23" s="129"/>
      <c r="E23" s="130"/>
      <c r="F23" s="61"/>
      <c r="G23" s="102" t="s">
        <v>159</v>
      </c>
      <c r="H23" s="92"/>
      <c r="I23" s="61"/>
      <c r="J23" s="61"/>
      <c r="K23" s="61"/>
      <c r="L23" s="61"/>
      <c r="M23" s="61"/>
      <c r="N23" s="61"/>
    </row>
    <row r="24" spans="2:14" x14ac:dyDescent="0.25">
      <c r="B24" s="61"/>
      <c r="C24" s="105"/>
      <c r="D24" s="105"/>
      <c r="E24" s="105"/>
      <c r="F24" s="61"/>
      <c r="G24" s="61"/>
      <c r="H24" s="61"/>
      <c r="I24" s="61"/>
      <c r="J24" s="61"/>
      <c r="K24" s="61"/>
      <c r="L24" s="61"/>
      <c r="M24" s="61"/>
      <c r="N24" s="61"/>
    </row>
    <row r="25" spans="2:14" x14ac:dyDescent="0.25">
      <c r="B25" s="61"/>
      <c r="C25" s="128">
        <f>IF('Input Site Information'!$C$17="W",'Post April 2018 - Water'!$F$28+'Post April 2018 - Water'!$F$29+'Post April 2018 - Water'!$F$30,IF('Input Site Information'!$C$17="C",'Post April 2018 - Water'!$F$28+'Post April 2018 - Water'!$F$29+'Post April 2018 - Water'!$F$30,0))</f>
        <v>-26.35</v>
      </c>
      <c r="D25" s="129"/>
      <c r="E25" s="130"/>
      <c r="F25" s="61"/>
      <c r="G25" s="102" t="s">
        <v>165</v>
      </c>
      <c r="H25" s="92"/>
      <c r="I25" s="61"/>
      <c r="J25" s="61"/>
      <c r="K25" s="61"/>
      <c r="L25" s="61"/>
      <c r="M25" s="61"/>
      <c r="N25" s="61"/>
    </row>
    <row r="26" spans="2:14" x14ac:dyDescent="0.25">
      <c r="B26" s="61"/>
      <c r="C26" s="107"/>
      <c r="D26" s="108"/>
      <c r="E26" s="109"/>
      <c r="F26" s="102"/>
      <c r="G26" s="92"/>
      <c r="H26" s="92"/>
      <c r="I26" s="61"/>
      <c r="J26" s="61"/>
      <c r="K26" s="61"/>
      <c r="L26" s="61"/>
      <c r="M26" s="61"/>
      <c r="N26" s="61"/>
    </row>
    <row r="27" spans="2:14" x14ac:dyDescent="0.25">
      <c r="B27" s="61"/>
      <c r="C27" s="128">
        <f>IF('Input Site Information'!$C$17="W",'Post April 2018 - Water'!$F$40+'Post April 2018 - Water'!$F$41+'Post April 2018 - Water'!$F$42,IF('Input Site Information'!$C$17="C",'Post April 2018 - Water'!$F$40+'Post April 2018 - Water'!$F$41+'Post April 2018 - Water'!$F$42,0))</f>
        <v>0</v>
      </c>
      <c r="D27" s="129"/>
      <c r="E27" s="130"/>
      <c r="F27" s="61"/>
      <c r="G27" s="102" t="s">
        <v>166</v>
      </c>
      <c r="H27" s="92"/>
      <c r="I27" s="61"/>
      <c r="J27" s="61"/>
      <c r="K27" s="61"/>
      <c r="L27" s="61"/>
      <c r="M27" s="61"/>
      <c r="N27" s="61"/>
    </row>
    <row r="28" spans="2:14" x14ac:dyDescent="0.25">
      <c r="B28" s="61"/>
      <c r="C28" s="105"/>
      <c r="D28" s="105"/>
      <c r="E28" s="105"/>
      <c r="F28" s="61"/>
      <c r="G28" s="61"/>
      <c r="H28" s="61"/>
      <c r="I28" s="61"/>
      <c r="J28" s="61"/>
      <c r="K28" s="61"/>
      <c r="L28" s="61"/>
      <c r="M28" s="61"/>
      <c r="N28" s="61"/>
    </row>
    <row r="29" spans="2:14" x14ac:dyDescent="0.25">
      <c r="B29" s="61"/>
      <c r="C29" s="106" t="s">
        <v>160</v>
      </c>
      <c r="D29" s="105"/>
      <c r="E29" s="105"/>
      <c r="F29" s="61"/>
      <c r="G29" s="61"/>
      <c r="H29" s="61"/>
      <c r="I29" s="61"/>
      <c r="J29" s="61"/>
      <c r="K29" s="61"/>
      <c r="L29" s="61"/>
      <c r="M29" s="61"/>
      <c r="N29" s="61"/>
    </row>
    <row r="30" spans="2:14" x14ac:dyDescent="0.25">
      <c r="B30" s="61"/>
      <c r="C30" s="105"/>
      <c r="D30" s="105"/>
      <c r="E30" s="105"/>
      <c r="F30" s="61"/>
      <c r="G30" s="61"/>
      <c r="H30" s="61"/>
      <c r="I30" s="61"/>
      <c r="J30" s="61"/>
      <c r="K30" s="61"/>
      <c r="L30" s="61"/>
      <c r="M30" s="61"/>
      <c r="N30" s="61"/>
    </row>
    <row r="31" spans="2:14" x14ac:dyDescent="0.25">
      <c r="B31" s="61"/>
      <c r="C31" s="128">
        <f>IF('Input Site Information'!$C$17="S",'Post April 2018 - Sewerage'!F19,IF('Input Site Information'!$C$17="C",'Post April 2018 - Sewerage'!F19,0))</f>
        <v>0</v>
      </c>
      <c r="D31" s="129"/>
      <c r="E31" s="130"/>
      <c r="F31" s="61"/>
      <c r="G31" s="102" t="s">
        <v>161</v>
      </c>
      <c r="H31" s="92"/>
      <c r="I31" s="92"/>
      <c r="J31" s="92"/>
      <c r="K31" s="61"/>
      <c r="L31" s="61"/>
      <c r="M31" s="61"/>
      <c r="N31" s="61"/>
    </row>
    <row r="32" spans="2:14" x14ac:dyDescent="0.25">
      <c r="B32" s="61"/>
      <c r="C32" s="107"/>
      <c r="D32" s="108"/>
      <c r="E32" s="109"/>
      <c r="F32" s="102"/>
      <c r="G32" s="92"/>
      <c r="H32" s="92"/>
      <c r="I32" s="92"/>
      <c r="J32" s="92"/>
      <c r="K32" s="61"/>
      <c r="L32" s="61"/>
      <c r="M32" s="61"/>
      <c r="N32" s="61"/>
    </row>
    <row r="33" spans="2:14" x14ac:dyDescent="0.25">
      <c r="B33" s="61"/>
      <c r="C33" s="128">
        <f>IF('Input Site Information'!$C$17="S",'Post April 2018 - Sewerage'!F33,IF('Input Site Information'!$C$17="C",'Post April 2018 - Sewerage'!F33,0))</f>
        <v>0</v>
      </c>
      <c r="D33" s="129"/>
      <c r="E33" s="130"/>
      <c r="F33" s="61"/>
      <c r="G33" s="102" t="s">
        <v>162</v>
      </c>
      <c r="H33" s="92"/>
      <c r="I33" s="92"/>
      <c r="J33" s="61"/>
      <c r="K33" s="61"/>
      <c r="L33" s="61"/>
      <c r="M33" s="61"/>
      <c r="N33" s="61"/>
    </row>
    <row r="34" spans="2:14" x14ac:dyDescent="0.25">
      <c r="B34" s="61"/>
      <c r="C34" s="107"/>
      <c r="D34" s="108"/>
      <c r="E34" s="105"/>
      <c r="F34" s="103"/>
      <c r="G34" s="61"/>
      <c r="H34" s="61"/>
      <c r="I34" s="61"/>
      <c r="J34" s="61"/>
      <c r="K34" s="61"/>
      <c r="L34" s="61"/>
      <c r="M34" s="61"/>
      <c r="N34" s="61"/>
    </row>
    <row r="35" spans="2:14" x14ac:dyDescent="0.25">
      <c r="B35" s="61"/>
      <c r="C35" s="131">
        <f>IF('Input Site Information'!$C$17="S",'Post April 2018 - Sewerage'!F20,IF('Input Site Information'!$C$17="C",'Post April 2018 - Sewerage'!F20,0))</f>
        <v>64.150000000000006</v>
      </c>
      <c r="D35" s="132"/>
      <c r="E35" s="133"/>
      <c r="F35" s="61"/>
      <c r="G35" s="102" t="s">
        <v>163</v>
      </c>
      <c r="H35" s="92"/>
      <c r="I35" s="92"/>
      <c r="J35" s="61"/>
      <c r="K35" s="61"/>
      <c r="L35" s="61"/>
      <c r="M35" s="61"/>
      <c r="N35" s="61"/>
    </row>
    <row r="36" spans="2:14" x14ac:dyDescent="0.25">
      <c r="B36" s="61"/>
      <c r="C36" s="112"/>
      <c r="D36" s="113"/>
      <c r="E36" s="114"/>
      <c r="F36" s="102"/>
      <c r="G36" s="92"/>
      <c r="H36" s="92"/>
      <c r="I36" s="61"/>
      <c r="J36" s="61"/>
      <c r="K36" s="61"/>
      <c r="L36" s="61"/>
      <c r="M36" s="61"/>
      <c r="N36" s="61"/>
    </row>
    <row r="37" spans="2:14" x14ac:dyDescent="0.25">
      <c r="B37" s="61"/>
      <c r="C37" s="131">
        <f>IF('Input Site Information'!$C$17="S",'Post April 2018 - Sewerage'!F34,IF('Input Site Information'!$C$17="C",'Post April 2018 - Sewerage'!F34,0))</f>
        <v>0</v>
      </c>
      <c r="D37" s="132"/>
      <c r="E37" s="133"/>
      <c r="F37" s="61"/>
      <c r="G37" s="102" t="s">
        <v>164</v>
      </c>
      <c r="H37" s="92"/>
      <c r="I37" s="61"/>
      <c r="J37" s="61"/>
      <c r="K37" s="61"/>
      <c r="L37" s="61"/>
      <c r="M37" s="61"/>
      <c r="N37" s="61"/>
    </row>
    <row r="38" spans="2:14" x14ac:dyDescent="0.25">
      <c r="B38" s="61"/>
      <c r="C38" s="115"/>
      <c r="D38" s="115"/>
      <c r="E38" s="115"/>
      <c r="F38" s="61"/>
      <c r="G38" s="61"/>
      <c r="H38" s="61"/>
      <c r="I38" s="61"/>
      <c r="J38" s="61"/>
      <c r="K38" s="61"/>
      <c r="L38" s="61"/>
      <c r="M38" s="61"/>
      <c r="N38" s="61"/>
    </row>
    <row r="39" spans="2:14" x14ac:dyDescent="0.25">
      <c r="B39" s="61"/>
      <c r="C39" s="131">
        <f>'Post April 2018 - Sewerage'!F26+'Post April 2018 - Sewerage'!F25+'Post April 2018 - Sewerage'!F27</f>
        <v>-6.17</v>
      </c>
      <c r="D39" s="132"/>
      <c r="E39" s="133"/>
      <c r="F39" s="61"/>
      <c r="G39" s="102" t="s">
        <v>167</v>
      </c>
      <c r="H39" s="92"/>
      <c r="I39" s="61"/>
      <c r="J39" s="61"/>
      <c r="K39" s="61"/>
      <c r="L39" s="61"/>
      <c r="M39" s="61"/>
      <c r="N39" s="61"/>
    </row>
    <row r="40" spans="2:14" x14ac:dyDescent="0.25">
      <c r="B40" s="61"/>
      <c r="C40" s="107"/>
      <c r="D40" s="108"/>
      <c r="E40" s="109"/>
      <c r="F40" s="102"/>
      <c r="G40" s="92"/>
      <c r="H40" s="92"/>
      <c r="I40" s="61"/>
      <c r="J40" s="61"/>
      <c r="K40" s="61"/>
      <c r="L40" s="61"/>
      <c r="M40" s="61"/>
      <c r="N40" s="61"/>
    </row>
    <row r="41" spans="2:14" x14ac:dyDescent="0.25">
      <c r="B41" s="61"/>
      <c r="C41" s="128">
        <f>IF('Input Site Information'!$C$17="S",'Post April 2018 - Sewerage'!F37+'Post April 2018 - Sewerage'!F38+'Post April 2018 - Sewerage'!F39,IF('Input Site Information'!$C$17="C",'Post April 2018 - Sewerage'!F37+'Post April 2018 - Sewerage'!F38+'Post April 2018 - Sewerage'!F39,0))</f>
        <v>0</v>
      </c>
      <c r="D41" s="129"/>
      <c r="E41" s="130"/>
      <c r="F41" s="61"/>
      <c r="G41" s="102" t="s">
        <v>168</v>
      </c>
      <c r="H41" s="92"/>
      <c r="I41" s="61"/>
      <c r="J41" s="61"/>
      <c r="K41" s="61"/>
      <c r="L41" s="61"/>
      <c r="M41" s="61"/>
      <c r="N41" s="61"/>
    </row>
    <row r="42" spans="2:14" x14ac:dyDescent="0.25">
      <c r="B42" s="61"/>
      <c r="C42" s="61"/>
      <c r="D42" s="61"/>
      <c r="E42" s="61"/>
      <c r="F42" s="61"/>
      <c r="G42" s="61"/>
      <c r="H42" s="61"/>
      <c r="I42" s="61"/>
      <c r="J42" s="61"/>
      <c r="K42" s="61"/>
      <c r="L42" s="61"/>
      <c r="M42" s="61"/>
      <c r="N42" s="61"/>
    </row>
    <row r="43" spans="2:14" x14ac:dyDescent="0.25">
      <c r="B43" s="61"/>
      <c r="C43" s="94" t="s">
        <v>81</v>
      </c>
      <c r="D43" s="61"/>
      <c r="E43" s="61"/>
      <c r="F43" s="61"/>
      <c r="G43" s="61"/>
      <c r="H43" s="61"/>
      <c r="I43" s="61"/>
      <c r="J43" s="61"/>
      <c r="K43" s="61"/>
      <c r="L43" s="61"/>
      <c r="M43" s="61"/>
      <c r="N43" s="61"/>
    </row>
    <row r="44" spans="2:14" x14ac:dyDescent="0.25">
      <c r="B44" s="61"/>
      <c r="C44" s="95"/>
      <c r="D44" s="61"/>
      <c r="E44" s="61"/>
      <c r="F44" s="61"/>
      <c r="G44" s="61"/>
      <c r="H44" s="61"/>
      <c r="I44" s="61"/>
      <c r="J44" s="61"/>
      <c r="K44" s="61"/>
      <c r="L44" s="61"/>
      <c r="M44" s="61"/>
      <c r="N44" s="61"/>
    </row>
    <row r="45" spans="2:14" x14ac:dyDescent="0.25">
      <c r="B45" s="61"/>
      <c r="C45" s="96" t="s">
        <v>134</v>
      </c>
      <c r="D45" s="61"/>
      <c r="E45" s="61"/>
      <c r="F45" s="61"/>
      <c r="G45" s="61"/>
      <c r="H45" s="61"/>
      <c r="I45" s="61"/>
      <c r="J45" s="61"/>
      <c r="K45" s="61"/>
      <c r="L45" s="61"/>
      <c r="M45" s="61"/>
      <c r="N45" s="61"/>
    </row>
    <row r="46" spans="2:14" x14ac:dyDescent="0.25">
      <c r="B46" s="61"/>
      <c r="C46" s="93"/>
      <c r="D46" s="61"/>
      <c r="E46" s="61"/>
      <c r="F46" s="61"/>
      <c r="G46" s="61"/>
      <c r="H46" s="61"/>
      <c r="I46" s="61"/>
      <c r="J46" s="61"/>
      <c r="K46" s="61"/>
      <c r="L46" s="61"/>
      <c r="M46" s="61"/>
      <c r="N46" s="61"/>
    </row>
    <row r="47" spans="2:14" x14ac:dyDescent="0.25">
      <c r="B47" s="61"/>
      <c r="C47" s="83" t="s">
        <v>135</v>
      </c>
      <c r="D47" s="61"/>
      <c r="E47" s="61"/>
      <c r="F47" s="61"/>
      <c r="G47" s="61"/>
      <c r="H47" s="61"/>
      <c r="I47" s="61"/>
      <c r="J47" s="61"/>
      <c r="K47" s="61"/>
      <c r="L47" s="61"/>
      <c r="M47" s="61"/>
      <c r="N47" s="61"/>
    </row>
    <row r="48" spans="2:14" x14ac:dyDescent="0.25">
      <c r="B48" s="61"/>
      <c r="C48" s="98"/>
      <c r="D48" s="61"/>
      <c r="E48" s="61"/>
      <c r="F48" s="61"/>
      <c r="G48" s="61"/>
      <c r="H48" s="61"/>
      <c r="I48" s="61"/>
      <c r="J48" s="61"/>
      <c r="K48" s="61"/>
      <c r="L48" s="61"/>
      <c r="M48" s="61"/>
      <c r="N48" s="61"/>
    </row>
    <row r="49" spans="2:14" x14ac:dyDescent="0.25">
      <c r="B49" s="61"/>
      <c r="C49" s="96" t="s">
        <v>134</v>
      </c>
      <c r="D49" s="61"/>
      <c r="E49" s="61"/>
      <c r="F49" s="61"/>
      <c r="G49" s="61"/>
      <c r="H49" s="61"/>
      <c r="I49" s="61"/>
      <c r="J49" s="61"/>
      <c r="K49" s="61"/>
      <c r="L49" s="61"/>
      <c r="M49" s="61"/>
      <c r="N49" s="61"/>
    </row>
    <row r="50" spans="2:14" x14ac:dyDescent="0.25">
      <c r="B50" s="61"/>
      <c r="C50" s="61"/>
      <c r="D50" s="61"/>
      <c r="E50" s="61"/>
      <c r="F50" s="61"/>
      <c r="G50" s="61"/>
      <c r="H50" s="61"/>
      <c r="I50" s="61"/>
      <c r="J50" s="61"/>
      <c r="K50" s="61"/>
      <c r="L50" s="61"/>
      <c r="M50" s="61"/>
      <c r="N50" s="61"/>
    </row>
  </sheetData>
  <sheetProtection algorithmName="SHA-512" hashValue="xmTjgYzfNpV5NFtsqONh3a89KrBNetSgIfk7lq/nVupdp3pSnYENXoq23U+ekeEuwKnM9R4dRRlZWA3yNyk6pA==" saltValue="Ej+zfInoI+oHPE7R9BQxKA==" spinCount="100000" sheet="1" objects="1" scenarios="1" selectLockedCells="1"/>
  <mergeCells count="14">
    <mergeCell ref="C25:E25"/>
    <mergeCell ref="C27:E27"/>
    <mergeCell ref="C31:E31"/>
    <mergeCell ref="C8:M9"/>
    <mergeCell ref="C13:E13"/>
    <mergeCell ref="C17:E17"/>
    <mergeCell ref="C19:E19"/>
    <mergeCell ref="C21:E21"/>
    <mergeCell ref="C23:E23"/>
    <mergeCell ref="C33:E33"/>
    <mergeCell ref="C35:E35"/>
    <mergeCell ref="C37:E37"/>
    <mergeCell ref="C39:E39"/>
    <mergeCell ref="C41:E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C41"/>
  <sheetViews>
    <sheetView workbookViewId="0">
      <selection activeCell="C13" sqref="C13:E13"/>
    </sheetView>
  </sheetViews>
  <sheetFormatPr defaultRowHeight="15" x14ac:dyDescent="0.25"/>
  <cols>
    <col min="3" max="3" width="40.85546875" customWidth="1"/>
  </cols>
  <sheetData>
    <row r="5" spans="3:3" x14ac:dyDescent="0.25">
      <c r="C5" t="s">
        <v>139</v>
      </c>
    </row>
    <row r="6" spans="3:3" x14ac:dyDescent="0.25">
      <c r="C6" t="s">
        <v>140</v>
      </c>
    </row>
    <row r="7" spans="3:3" x14ac:dyDescent="0.25">
      <c r="C7" t="s">
        <v>7</v>
      </c>
    </row>
    <row r="8" spans="3:3" x14ac:dyDescent="0.25">
      <c r="C8" t="s">
        <v>141</v>
      </c>
    </row>
    <row r="9" spans="3:3" x14ac:dyDescent="0.25">
      <c r="C9" t="s">
        <v>142</v>
      </c>
    </row>
    <row r="10" spans="3:3" x14ac:dyDescent="0.25">
      <c r="C10" s="101">
        <v>2615.2600000000002</v>
      </c>
    </row>
    <row r="11" spans="3:3" x14ac:dyDescent="0.25">
      <c r="C11" t="s">
        <v>143</v>
      </c>
    </row>
    <row r="12" spans="3:3" x14ac:dyDescent="0.25">
      <c r="C12" t="s">
        <v>144</v>
      </c>
    </row>
    <row r="13" spans="3:3" x14ac:dyDescent="0.25">
      <c r="C13" s="101">
        <v>-157.76</v>
      </c>
    </row>
    <row r="14" spans="3:3" x14ac:dyDescent="0.25">
      <c r="C14" t="s">
        <v>145</v>
      </c>
    </row>
    <row r="18" spans="3:3" x14ac:dyDescent="0.25">
      <c r="C18" t="s">
        <v>139</v>
      </c>
    </row>
    <row r="19" spans="3:3" x14ac:dyDescent="0.25">
      <c r="C19" t="s">
        <v>140</v>
      </c>
    </row>
    <row r="20" spans="3:3" x14ac:dyDescent="0.25">
      <c r="C20" t="s">
        <v>7</v>
      </c>
    </row>
    <row r="21" spans="3:3" x14ac:dyDescent="0.25">
      <c r="C21" t="s">
        <v>141</v>
      </c>
    </row>
    <row r="22" spans="3:3" x14ac:dyDescent="0.25">
      <c r="C22" t="s">
        <v>142</v>
      </c>
    </row>
    <row r="23" spans="3:3" x14ac:dyDescent="0.25">
      <c r="C23" s="101">
        <v>2615.2600000000002</v>
      </c>
    </row>
    <row r="24" spans="3:3" x14ac:dyDescent="0.25">
      <c r="C24" t="s">
        <v>143</v>
      </c>
    </row>
    <row r="25" spans="3:3" x14ac:dyDescent="0.25">
      <c r="C25" t="s">
        <v>144</v>
      </c>
    </row>
    <row r="26" spans="3:3" x14ac:dyDescent="0.25">
      <c r="C26" s="101">
        <v>-157.76</v>
      </c>
    </row>
    <row r="27" spans="3:3" x14ac:dyDescent="0.25">
      <c r="C27" t="s">
        <v>145</v>
      </c>
    </row>
    <row r="28" spans="3:3" x14ac:dyDescent="0.25">
      <c r="C28" s="101">
        <v>2457.5</v>
      </c>
    </row>
    <row r="29" spans="3:3" x14ac:dyDescent="0.25">
      <c r="C29" t="s">
        <v>146</v>
      </c>
    </row>
    <row r="30" spans="3:3" x14ac:dyDescent="0.25">
      <c r="C30" t="s">
        <v>147</v>
      </c>
    </row>
    <row r="31" spans="3:3" x14ac:dyDescent="0.25">
      <c r="C31" t="s">
        <v>148</v>
      </c>
    </row>
    <row r="32" spans="3:3" x14ac:dyDescent="0.25">
      <c r="C32" t="s">
        <v>149</v>
      </c>
    </row>
    <row r="33" spans="3:3" x14ac:dyDescent="0.25">
      <c r="C33" t="s">
        <v>150</v>
      </c>
    </row>
    <row r="34" spans="3:3" x14ac:dyDescent="0.25">
      <c r="C34" s="101">
        <v>744</v>
      </c>
    </row>
    <row r="35" spans="3:3" x14ac:dyDescent="0.25">
      <c r="C35" t="s">
        <v>151</v>
      </c>
    </row>
    <row r="36" spans="3:3" x14ac:dyDescent="0.25">
      <c r="C36" t="s">
        <v>152</v>
      </c>
    </row>
    <row r="37" spans="3:3" x14ac:dyDescent="0.25">
      <c r="C37" s="101">
        <v>6.13</v>
      </c>
    </row>
    <row r="38" spans="3:3" x14ac:dyDescent="0.25">
      <c r="C38" t="s">
        <v>153</v>
      </c>
    </row>
    <row r="39" spans="3:3" x14ac:dyDescent="0.25">
      <c r="C39" s="101">
        <v>750.13</v>
      </c>
    </row>
    <row r="40" spans="3:3" x14ac:dyDescent="0.25">
      <c r="C40" t="s">
        <v>154</v>
      </c>
    </row>
    <row r="41" spans="3:3" x14ac:dyDescent="0.25">
      <c r="C41" s="101">
        <v>2457.5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9"/>
  <sheetViews>
    <sheetView topLeftCell="A7" workbookViewId="0">
      <selection activeCell="C13" sqref="C13:E13"/>
    </sheetView>
  </sheetViews>
  <sheetFormatPr defaultRowHeight="15" x14ac:dyDescent="0.25"/>
  <cols>
    <col min="1" max="1" width="3.7109375" customWidth="1"/>
    <col min="2" max="2" width="35.7109375" customWidth="1"/>
    <col min="3" max="5" width="13.7109375" customWidth="1"/>
    <col min="6" max="6" width="10.7109375" customWidth="1"/>
    <col min="7" max="7" width="5" customWidth="1"/>
  </cols>
  <sheetData>
    <row r="1" spans="2:12" ht="15.75" x14ac:dyDescent="0.25">
      <c r="B1" s="141" t="s">
        <v>94</v>
      </c>
      <c r="C1" s="141"/>
      <c r="D1" s="141"/>
      <c r="E1" s="141"/>
      <c r="F1" s="141"/>
      <c r="G1" s="1"/>
      <c r="H1" s="1"/>
    </row>
    <row r="2" spans="2:12" x14ac:dyDescent="0.25">
      <c r="B2" s="1"/>
      <c r="C2" s="1"/>
      <c r="D2" s="1"/>
      <c r="E2" s="1"/>
      <c r="F2" s="1"/>
      <c r="G2" s="1"/>
      <c r="H2" s="1"/>
    </row>
    <row r="3" spans="2:12" x14ac:dyDescent="0.25">
      <c r="B3" s="1" t="s">
        <v>1</v>
      </c>
      <c r="C3" s="46" t="str">
        <f>+'Input Site Information'!C13</f>
        <v>NW</v>
      </c>
      <c r="D3" s="60"/>
      <c r="E3" s="60"/>
      <c r="F3" s="60"/>
      <c r="G3" s="1"/>
      <c r="H3" s="1"/>
    </row>
    <row r="4" spans="2:12" x14ac:dyDescent="0.25">
      <c r="B4" s="1" t="s">
        <v>90</v>
      </c>
      <c r="C4" s="47">
        <f>+'Input Site Information'!C29</f>
        <v>1</v>
      </c>
      <c r="D4" s="60"/>
      <c r="E4" s="60"/>
      <c r="F4" s="60"/>
      <c r="G4" s="1"/>
      <c r="H4" s="1"/>
    </row>
    <row r="5" spans="2:12" x14ac:dyDescent="0.25">
      <c r="B5" s="1" t="s">
        <v>95</v>
      </c>
      <c r="C5" s="47">
        <v>1000</v>
      </c>
      <c r="D5" s="60"/>
      <c r="E5" s="60"/>
      <c r="F5" s="60"/>
      <c r="G5" s="1"/>
      <c r="H5" s="1"/>
    </row>
    <row r="6" spans="2:12" x14ac:dyDescent="0.25">
      <c r="B6" s="1" t="s">
        <v>93</v>
      </c>
      <c r="C6" s="47">
        <v>1</v>
      </c>
      <c r="D6" s="60"/>
      <c r="E6" s="60"/>
      <c r="F6" s="60"/>
      <c r="G6" s="1"/>
      <c r="H6" s="1"/>
    </row>
    <row r="7" spans="2:12" x14ac:dyDescent="0.25">
      <c r="B7" s="1" t="s">
        <v>86</v>
      </c>
      <c r="C7" s="47">
        <f>+'Input Site Information'!C33</f>
        <v>0</v>
      </c>
      <c r="D7" s="59" t="s">
        <v>89</v>
      </c>
      <c r="E7" s="60"/>
      <c r="F7" s="60"/>
      <c r="G7" s="1"/>
      <c r="H7" s="1"/>
    </row>
    <row r="8" spans="2:12" x14ac:dyDescent="0.25">
      <c r="B8" s="1" t="s">
        <v>91</v>
      </c>
      <c r="C8" s="47">
        <f>SUM('Input Site Information'!C39:C44)</f>
        <v>0</v>
      </c>
      <c r="D8" s="60"/>
      <c r="E8" s="60"/>
      <c r="F8" s="60"/>
      <c r="G8" s="1"/>
      <c r="H8" s="1"/>
    </row>
    <row r="9" spans="2:12" x14ac:dyDescent="0.25">
      <c r="B9" s="1" t="s">
        <v>92</v>
      </c>
      <c r="C9" s="47"/>
      <c r="D9" s="60"/>
      <c r="E9" s="60"/>
      <c r="F9" s="60"/>
      <c r="G9" s="1"/>
      <c r="H9" s="1"/>
    </row>
    <row r="10" spans="2:12" ht="15.75" thickBot="1" x14ac:dyDescent="0.3">
      <c r="B10" s="1"/>
      <c r="C10" s="60"/>
      <c r="D10" s="60"/>
      <c r="E10" s="60"/>
      <c r="F10" s="60"/>
      <c r="G10" s="1"/>
      <c r="H10" s="1"/>
    </row>
    <row r="11" spans="2:12" ht="15.75" thickBot="1" x14ac:dyDescent="0.3">
      <c r="B11" s="138" t="s">
        <v>78</v>
      </c>
      <c r="C11" s="139"/>
      <c r="D11" s="139"/>
      <c r="E11" s="139"/>
      <c r="F11" s="140"/>
      <c r="G11" s="1"/>
      <c r="H11" s="1"/>
    </row>
    <row r="12" spans="2:12" x14ac:dyDescent="0.25">
      <c r="B12" s="39"/>
      <c r="C12" s="40" t="s">
        <v>6</v>
      </c>
      <c r="D12" s="40"/>
      <c r="E12" s="40" t="s">
        <v>17</v>
      </c>
      <c r="F12" s="52" t="s">
        <v>7</v>
      </c>
      <c r="G12" s="1"/>
      <c r="H12" s="1"/>
    </row>
    <row r="13" spans="2:12" ht="30" x14ac:dyDescent="0.25">
      <c r="B13" s="39" t="s">
        <v>82</v>
      </c>
      <c r="C13" s="57">
        <f>VLOOKUP($C$3,Tariffs!$A$56:$G$57,2,FALSE)</f>
        <v>101</v>
      </c>
      <c r="D13" s="54"/>
      <c r="E13" s="55"/>
      <c r="F13" s="64">
        <f>+C13*C6</f>
        <v>101</v>
      </c>
      <c r="G13" s="1"/>
      <c r="H13" s="63"/>
      <c r="I13" s="63"/>
      <c r="J13" s="63"/>
      <c r="K13" s="63"/>
      <c r="L13" s="63"/>
    </row>
    <row r="14" spans="2:12" x14ac:dyDescent="0.25">
      <c r="B14" s="39" t="s">
        <v>87</v>
      </c>
      <c r="C14" s="57">
        <f>VLOOKUP($C$3,Tariffs!$A$56:$G$57,3,FALSE)</f>
        <v>-422</v>
      </c>
      <c r="D14" s="54"/>
      <c r="E14" s="55">
        <f>+C5</f>
        <v>1000</v>
      </c>
      <c r="F14" s="64">
        <f>+C14*E14</f>
        <v>-422000</v>
      </c>
      <c r="G14" s="1"/>
      <c r="H14" s="63"/>
      <c r="I14" s="63"/>
      <c r="J14" s="63"/>
      <c r="K14" s="63"/>
      <c r="L14" s="63"/>
    </row>
    <row r="15" spans="2:12" ht="30" x14ac:dyDescent="0.25">
      <c r="B15" s="39" t="s">
        <v>83</v>
      </c>
      <c r="C15" s="57">
        <f>VLOOKUP($C$3,Tariffs!$A$56:$G$57,4,FALSE)</f>
        <v>185</v>
      </c>
      <c r="D15" s="54"/>
      <c r="E15" s="55">
        <f>+C5-E16</f>
        <v>950</v>
      </c>
      <c r="F15" s="64">
        <f>+C15*E15</f>
        <v>175750</v>
      </c>
      <c r="G15" s="1"/>
      <c r="H15" s="63"/>
      <c r="I15" s="63"/>
      <c r="J15" s="63"/>
      <c r="K15" s="63"/>
      <c r="L15" s="63"/>
    </row>
    <row r="16" spans="2:12" ht="30" x14ac:dyDescent="0.25">
      <c r="B16" s="39" t="s">
        <v>88</v>
      </c>
      <c r="C16" s="58">
        <v>0</v>
      </c>
      <c r="D16" s="54"/>
      <c r="E16" s="56">
        <v>50</v>
      </c>
      <c r="F16" s="64">
        <f>+C16*E16</f>
        <v>0</v>
      </c>
      <c r="G16" s="1"/>
      <c r="H16" s="63"/>
      <c r="I16" s="63"/>
      <c r="J16" s="63"/>
      <c r="K16" s="63"/>
      <c r="L16" s="63"/>
    </row>
    <row r="17" spans="2:12" x14ac:dyDescent="0.25">
      <c r="B17" s="22"/>
      <c r="C17" s="54"/>
      <c r="D17" s="54"/>
      <c r="E17" s="54"/>
      <c r="F17" s="64"/>
      <c r="G17" s="1"/>
      <c r="H17" s="63"/>
      <c r="I17" s="63"/>
      <c r="J17" s="63"/>
      <c r="K17" s="63"/>
      <c r="L17" s="63"/>
    </row>
    <row r="18" spans="2:12" x14ac:dyDescent="0.25">
      <c r="B18" s="22"/>
      <c r="C18" s="40"/>
      <c r="D18" s="40"/>
      <c r="E18" s="40"/>
      <c r="F18" s="64"/>
      <c r="G18" s="1"/>
      <c r="H18" s="63"/>
    </row>
    <row r="19" spans="2:12" ht="15.75" thickBot="1" x14ac:dyDescent="0.3">
      <c r="B19" s="27" t="s">
        <v>85</v>
      </c>
      <c r="C19" s="51"/>
      <c r="D19" s="51"/>
      <c r="E19" s="51"/>
      <c r="F19" s="65">
        <f>IF(E15 &lt; 0, "CHECK NHH PROPERTY INFO", (SUM(F13:F16)))</f>
        <v>-246149</v>
      </c>
      <c r="G19" s="1"/>
      <c r="H19" s="63"/>
    </row>
    <row r="20" spans="2:12" ht="15.75" thickBot="1" x14ac:dyDescent="0.3">
      <c r="B20" s="1"/>
      <c r="C20" s="1"/>
      <c r="D20" s="1"/>
      <c r="E20" s="1"/>
      <c r="F20" s="1"/>
      <c r="G20" s="1"/>
      <c r="H20" s="63"/>
    </row>
    <row r="21" spans="2:12" ht="15.75" thickBot="1" x14ac:dyDescent="0.3">
      <c r="B21" s="138" t="s">
        <v>29</v>
      </c>
      <c r="C21" s="139"/>
      <c r="D21" s="139"/>
      <c r="E21" s="139"/>
      <c r="F21" s="140"/>
      <c r="G21" s="1"/>
      <c r="H21" s="63"/>
    </row>
    <row r="22" spans="2:12" ht="8.25" customHeight="1" x14ac:dyDescent="0.25">
      <c r="B22" s="17"/>
      <c r="C22" s="5"/>
      <c r="D22" s="5"/>
      <c r="E22" s="5"/>
      <c r="F22" s="18"/>
      <c r="G22" s="1"/>
      <c r="H22" s="1"/>
    </row>
    <row r="23" spans="2:12" x14ac:dyDescent="0.25">
      <c r="B23" s="19" t="s">
        <v>20</v>
      </c>
      <c r="C23" s="20" t="s">
        <v>6</v>
      </c>
      <c r="D23" s="20" t="s">
        <v>16</v>
      </c>
      <c r="E23" s="20" t="s">
        <v>17</v>
      </c>
      <c r="F23" s="21" t="s">
        <v>7</v>
      </c>
      <c r="G23" s="1"/>
      <c r="H23" s="1"/>
    </row>
    <row r="24" spans="2:12" x14ac:dyDescent="0.25">
      <c r="B24" s="22" t="s">
        <v>4</v>
      </c>
      <c r="C24" s="15">
        <f>VLOOKUP($C$3,Tariffs!$A$8:$G$9,2,FALSE)</f>
        <v>1.0657000000000001</v>
      </c>
      <c r="D24" s="23">
        <f>IF(ISBLANK(C7),(VLOOKUP($C$3,Tariffs!$A$8:$U$9,7,FALSE)*C4),C7)</f>
        <v>0</v>
      </c>
      <c r="E24" s="23"/>
      <c r="F24" s="24">
        <f>+D24*C24</f>
        <v>0</v>
      </c>
      <c r="G24" s="1"/>
      <c r="H24" s="1"/>
    </row>
    <row r="25" spans="2:12" x14ac:dyDescent="0.25">
      <c r="B25" s="22" t="s">
        <v>5</v>
      </c>
      <c r="C25" s="15">
        <f>VLOOKUP($C$3,Tariffs!$A$8:$G$9,3,FALSE)</f>
        <v>20.200000000000003</v>
      </c>
      <c r="D25" s="23"/>
      <c r="E25" s="23">
        <f>+$C$4</f>
        <v>1</v>
      </c>
      <c r="F25" s="24">
        <f>+E25*C25</f>
        <v>20.200000000000003</v>
      </c>
      <c r="G25" s="1"/>
      <c r="H25" s="1"/>
    </row>
    <row r="26" spans="2:12" x14ac:dyDescent="0.25">
      <c r="B26" s="22"/>
      <c r="C26" s="15"/>
      <c r="D26" s="23"/>
      <c r="E26" s="23"/>
      <c r="F26" s="24"/>
      <c r="G26" s="1"/>
      <c r="H26" s="1"/>
    </row>
    <row r="27" spans="2:12" x14ac:dyDescent="0.25">
      <c r="B27" s="19" t="s">
        <v>8</v>
      </c>
      <c r="C27" s="15"/>
      <c r="D27" s="23"/>
      <c r="E27" s="23"/>
      <c r="F27" s="25"/>
      <c r="G27" s="1"/>
      <c r="H27" s="1"/>
    </row>
    <row r="28" spans="2:12" x14ac:dyDescent="0.25">
      <c r="B28" s="22" t="s">
        <v>10</v>
      </c>
      <c r="C28" s="15">
        <f>VLOOKUP($C$3,Tariffs!$A$8:$G$9,4,FALSE)</f>
        <v>-19.170000000000002</v>
      </c>
      <c r="D28" s="23"/>
      <c r="E28" s="23">
        <f t="shared" ref="E28:E29" si="0">+$C$4</f>
        <v>1</v>
      </c>
      <c r="F28" s="24">
        <f t="shared" ref="F28:F29" si="1">+E28*C28</f>
        <v>-19.170000000000002</v>
      </c>
      <c r="G28" s="1"/>
      <c r="H28" s="1"/>
    </row>
    <row r="29" spans="2:12" x14ac:dyDescent="0.25">
      <c r="B29" s="22" t="s">
        <v>9</v>
      </c>
      <c r="C29" s="15">
        <f>VLOOKUP($C$3,Tariffs!$A$8:$G$9,5,FALSE)</f>
        <v>-7.18</v>
      </c>
      <c r="D29" s="23"/>
      <c r="E29" s="23">
        <f t="shared" si="0"/>
        <v>1</v>
      </c>
      <c r="F29" s="24">
        <f t="shared" si="1"/>
        <v>-7.18</v>
      </c>
      <c r="G29" s="1"/>
      <c r="H29" s="1"/>
    </row>
    <row r="30" spans="2:12" x14ac:dyDescent="0.25">
      <c r="B30" s="22" t="s">
        <v>14</v>
      </c>
      <c r="C30" s="15">
        <f>VLOOKUP($C$3,Tariffs!$A$8:$G$9,7,FALSE)</f>
        <v>-2.9600000000000001E-2</v>
      </c>
      <c r="D30" s="23">
        <f>+D24</f>
        <v>0</v>
      </c>
      <c r="E30" s="15"/>
      <c r="F30" s="24">
        <f>+D30*C30</f>
        <v>0</v>
      </c>
      <c r="G30" s="1"/>
      <c r="H30" s="1"/>
    </row>
    <row r="31" spans="2:12" x14ac:dyDescent="0.25">
      <c r="B31" s="22"/>
      <c r="C31" s="15"/>
      <c r="D31" s="23"/>
      <c r="E31" s="15"/>
      <c r="F31" s="24"/>
      <c r="G31" s="1"/>
      <c r="H31" s="1"/>
    </row>
    <row r="32" spans="2:12" ht="15.75" thickBot="1" x14ac:dyDescent="0.3">
      <c r="B32" s="22"/>
      <c r="C32" s="15"/>
      <c r="D32" s="23"/>
      <c r="E32" s="15"/>
      <c r="F32" s="24"/>
      <c r="G32" s="1"/>
      <c r="H32" s="1"/>
    </row>
    <row r="33" spans="2:8" ht="15.75" thickBot="1" x14ac:dyDescent="0.3">
      <c r="B33" s="138" t="s">
        <v>30</v>
      </c>
      <c r="C33" s="139"/>
      <c r="D33" s="139"/>
      <c r="E33" s="139"/>
      <c r="F33" s="140"/>
      <c r="G33" s="1"/>
      <c r="H33" s="1"/>
    </row>
    <row r="34" spans="2:8" x14ac:dyDescent="0.25">
      <c r="B34" s="22"/>
      <c r="C34" s="15"/>
      <c r="D34" s="23"/>
      <c r="E34" s="15"/>
      <c r="F34" s="24"/>
      <c r="G34" s="1"/>
      <c r="H34" s="1"/>
    </row>
    <row r="35" spans="2:8" x14ac:dyDescent="0.25">
      <c r="B35" s="19" t="s">
        <v>20</v>
      </c>
      <c r="C35" s="20" t="s">
        <v>6</v>
      </c>
      <c r="D35" s="20" t="s">
        <v>16</v>
      </c>
      <c r="E35" s="20" t="s">
        <v>17</v>
      </c>
      <c r="F35" s="21" t="s">
        <v>7</v>
      </c>
      <c r="G35" s="1"/>
      <c r="H35" s="1"/>
    </row>
    <row r="36" spans="2:8" x14ac:dyDescent="0.25">
      <c r="B36" s="22" t="s">
        <v>4</v>
      </c>
      <c r="C36" s="15">
        <f>VLOOKUP($C$3,Tariffs!$A$20:$G$21,2,FALSE)</f>
        <v>1.0613999999999999</v>
      </c>
      <c r="D36" s="45">
        <f>+'Input Site Information'!C48</f>
        <v>0</v>
      </c>
      <c r="E36" s="15"/>
      <c r="F36" s="24">
        <f>+C36*D36</f>
        <v>0</v>
      </c>
      <c r="G36" s="1"/>
      <c r="H36" s="1"/>
    </row>
    <row r="37" spans="2:8" x14ac:dyDescent="0.25">
      <c r="B37" s="22" t="s">
        <v>5</v>
      </c>
      <c r="C37" s="15"/>
      <c r="D37" s="23"/>
      <c r="E37" s="23">
        <f>+C8</f>
        <v>0</v>
      </c>
      <c r="F37" s="24">
        <f>+I59</f>
        <v>0</v>
      </c>
      <c r="G37" s="1"/>
      <c r="H37" s="1"/>
    </row>
    <row r="38" spans="2:8" x14ac:dyDescent="0.25">
      <c r="B38" s="22"/>
      <c r="C38" s="15"/>
      <c r="D38" s="23"/>
      <c r="E38" s="15"/>
      <c r="F38" s="24"/>
      <c r="G38" s="1"/>
      <c r="H38" s="1"/>
    </row>
    <row r="39" spans="2:8" x14ac:dyDescent="0.25">
      <c r="B39" s="19" t="s">
        <v>8</v>
      </c>
      <c r="C39" s="15"/>
      <c r="D39" s="23"/>
      <c r="E39" s="15"/>
      <c r="F39" s="24"/>
      <c r="G39" s="1"/>
      <c r="H39" s="1"/>
    </row>
    <row r="40" spans="2:8" x14ac:dyDescent="0.25">
      <c r="B40" s="22" t="s">
        <v>10</v>
      </c>
      <c r="C40" s="15">
        <f>VLOOKUP($C$3,Tariffs!$A$20:$G$21,4,FALSE)</f>
        <v>-0.20230000000000001</v>
      </c>
      <c r="D40" s="23">
        <f>+D36</f>
        <v>0</v>
      </c>
      <c r="E40" s="23"/>
      <c r="F40" s="24">
        <f>+C40*$D$36</f>
        <v>0</v>
      </c>
      <c r="G40" s="1"/>
      <c r="H40" s="1"/>
    </row>
    <row r="41" spans="2:8" x14ac:dyDescent="0.25">
      <c r="B41" s="22" t="s">
        <v>9</v>
      </c>
      <c r="C41" s="15">
        <f>VLOOKUP($C$3,Tariffs!$A$20:$G$21,5,FALSE)</f>
        <v>-7.5800000000000006E-2</v>
      </c>
      <c r="D41" s="23">
        <f>+D36</f>
        <v>0</v>
      </c>
      <c r="E41" s="23"/>
      <c r="F41" s="24">
        <f t="shared" ref="F41" si="2">+C41*$D$36</f>
        <v>0</v>
      </c>
      <c r="G41" s="1"/>
      <c r="H41" s="1"/>
    </row>
    <row r="42" spans="2:8" x14ac:dyDescent="0.25">
      <c r="B42" s="22" t="s">
        <v>14</v>
      </c>
      <c r="C42" s="26">
        <f>VLOOKUP($C$3,Tariffs!$A$20:$G$21,7,FALSE)</f>
        <v>-2.9600000000000001E-2</v>
      </c>
      <c r="D42" s="23">
        <f>+D36</f>
        <v>0</v>
      </c>
      <c r="E42" s="23"/>
      <c r="F42" s="24">
        <f>+C42*D42</f>
        <v>0</v>
      </c>
      <c r="G42" s="1"/>
      <c r="H42" s="1"/>
    </row>
    <row r="43" spans="2:8" x14ac:dyDescent="0.25">
      <c r="B43" s="22"/>
      <c r="C43" s="15"/>
      <c r="D43" s="15"/>
      <c r="E43" s="15"/>
      <c r="F43" s="25"/>
      <c r="G43" s="1"/>
      <c r="H43" s="1"/>
    </row>
    <row r="44" spans="2:8" ht="15.75" thickBot="1" x14ac:dyDescent="0.3">
      <c r="B44" s="27" t="s">
        <v>18</v>
      </c>
      <c r="C44" s="3"/>
      <c r="D44" s="3"/>
      <c r="E44" s="3"/>
      <c r="F44" s="28">
        <f>SUM(F24:F43)</f>
        <v>-6.1499999999999986</v>
      </c>
      <c r="G44" s="1"/>
      <c r="H44" s="1"/>
    </row>
    <row r="45" spans="2:8" x14ac:dyDescent="0.25">
      <c r="B45" s="1"/>
      <c r="C45" s="1"/>
      <c r="D45" s="1"/>
      <c r="E45" s="1"/>
      <c r="F45" s="1"/>
      <c r="G45" s="1"/>
      <c r="H45" s="1"/>
    </row>
    <row r="46" spans="2:8" x14ac:dyDescent="0.25">
      <c r="B46" s="1"/>
      <c r="C46" s="1"/>
      <c r="D46" s="1"/>
      <c r="E46" s="1"/>
      <c r="F46" s="1"/>
      <c r="G46" s="1"/>
      <c r="H46" s="1"/>
    </row>
    <row r="47" spans="2:8" ht="15.75" thickBot="1" x14ac:dyDescent="0.3">
      <c r="B47" s="3" t="s">
        <v>28</v>
      </c>
      <c r="C47" s="3"/>
      <c r="D47" s="3"/>
      <c r="E47" s="3"/>
      <c r="F47" s="41">
        <f>IF(C53 &lt; 0, "CHECK NHH PROPERTY INFO", (F44+F19))</f>
        <v>-246155.15</v>
      </c>
      <c r="G47" s="1"/>
      <c r="H47" s="1"/>
    </row>
    <row r="48" spans="2:8" x14ac:dyDescent="0.25">
      <c r="B48" s="1"/>
      <c r="C48" s="1"/>
      <c r="D48" s="1"/>
      <c r="E48" s="1"/>
      <c r="F48" s="1"/>
      <c r="G48" s="1"/>
      <c r="H48" s="1"/>
    </row>
    <row r="49" spans="2:10" ht="15.75" thickBot="1" x14ac:dyDescent="0.3">
      <c r="B49" s="1"/>
      <c r="C49" s="1"/>
      <c r="D49" s="1" t="str">
        <f>IF(AND(B1="this",C1="that"),"x","")</f>
        <v/>
      </c>
      <c r="E49" s="1"/>
      <c r="F49" s="1"/>
      <c r="G49" s="1"/>
      <c r="H49" s="1"/>
    </row>
    <row r="50" spans="2:10" x14ac:dyDescent="0.25">
      <c r="B50" s="135"/>
      <c r="C50" s="136"/>
      <c r="D50" s="137"/>
      <c r="E50" s="36"/>
      <c r="F50" s="36"/>
      <c r="G50" s="1"/>
      <c r="H50" s="1"/>
    </row>
    <row r="51" spans="2:10" x14ac:dyDescent="0.25">
      <c r="B51" s="6"/>
      <c r="C51" s="7"/>
      <c r="D51" s="8"/>
    </row>
    <row r="52" spans="2:10" x14ac:dyDescent="0.25">
      <c r="B52" s="6" t="s">
        <v>70</v>
      </c>
      <c r="C52" s="7"/>
      <c r="D52" s="8"/>
    </row>
    <row r="53" spans="2:10" x14ac:dyDescent="0.25">
      <c r="B53" s="6" t="s">
        <v>71</v>
      </c>
      <c r="C53" s="38">
        <f>+'Input Site Information'!C39</f>
        <v>0</v>
      </c>
      <c r="D53" s="8"/>
      <c r="H53" t="s">
        <v>71</v>
      </c>
      <c r="I53">
        <f>(IF($C$3 = "North", Tariffs!B46, Tariffs!C46))*C53</f>
        <v>0</v>
      </c>
      <c r="J53" s="35"/>
    </row>
    <row r="54" spans="2:10" x14ac:dyDescent="0.25">
      <c r="B54" s="6" t="s">
        <v>72</v>
      </c>
      <c r="C54" s="38">
        <f>+'Input Site Information'!C40</f>
        <v>0</v>
      </c>
      <c r="D54" s="8"/>
      <c r="H54" t="s">
        <v>72</v>
      </c>
      <c r="I54">
        <f>(IF($C$3 = "North", Tariffs!B47, Tariffs!C47))*C54</f>
        <v>0</v>
      </c>
    </row>
    <row r="55" spans="2:10" x14ac:dyDescent="0.25">
      <c r="B55" s="6" t="s">
        <v>73</v>
      </c>
      <c r="C55" s="38">
        <f>+'Input Site Information'!C41</f>
        <v>0</v>
      </c>
      <c r="D55" s="8"/>
      <c r="H55" t="s">
        <v>73</v>
      </c>
      <c r="I55">
        <f>(IF($C$3 = "North", Tariffs!B48, Tariffs!C48))*C55</f>
        <v>0</v>
      </c>
    </row>
    <row r="56" spans="2:10" x14ac:dyDescent="0.25">
      <c r="B56" s="6" t="s">
        <v>74</v>
      </c>
      <c r="C56" s="38">
        <f>+'Input Site Information'!C42</f>
        <v>0</v>
      </c>
      <c r="D56" s="8"/>
      <c r="H56" t="s">
        <v>74</v>
      </c>
      <c r="I56">
        <f>(IF($C$3 = "North", Tariffs!B49, Tariffs!C49))*C56</f>
        <v>0</v>
      </c>
    </row>
    <row r="57" spans="2:10" x14ac:dyDescent="0.25">
      <c r="B57" s="6" t="s">
        <v>75</v>
      </c>
      <c r="C57" s="38">
        <f>+'Input Site Information'!C43</f>
        <v>0</v>
      </c>
      <c r="D57" s="8"/>
      <c r="H57" t="s">
        <v>75</v>
      </c>
      <c r="I57">
        <f>(IF($C$3 = "North", Tariffs!B50, Tariffs!C50))*C57</f>
        <v>0</v>
      </c>
    </row>
    <row r="58" spans="2:10" x14ac:dyDescent="0.25">
      <c r="B58" s="6" t="s">
        <v>76</v>
      </c>
      <c r="C58" s="38">
        <f>+'Input Site Information'!C44</f>
        <v>0</v>
      </c>
      <c r="D58" s="8"/>
      <c r="H58" t="s">
        <v>76</v>
      </c>
      <c r="I58">
        <f>(IF($C$3 = "North", Tariffs!B51, Tariffs!C51))*C58</f>
        <v>0</v>
      </c>
    </row>
    <row r="59" spans="2:10" ht="15.75" thickBot="1" x14ac:dyDescent="0.3">
      <c r="B59" s="10"/>
      <c r="C59" s="11"/>
      <c r="D59" s="12"/>
      <c r="I59" s="31">
        <f>SUM(I53:I58)</f>
        <v>0</v>
      </c>
    </row>
  </sheetData>
  <sheetProtection selectLockedCells="1"/>
  <mergeCells count="5">
    <mergeCell ref="B50:D50"/>
    <mergeCell ref="B21:F21"/>
    <mergeCell ref="B33:F33"/>
    <mergeCell ref="B11:F11"/>
    <mergeCell ref="B1:F1"/>
  </mergeCells>
  <conditionalFormatting sqref="C12:F12 C16:F19 D13:F15 D3:F6 E7:F7 D8:F10">
    <cfRule type="containsText" dxfId="8" priority="7" operator="containsText" text="Consult Relevant Sewerage Charges Scheme (Anglian/Thames)">
      <formula>NOT(ISERROR(SEARCH("Consult Relevant Sewerage Charges Scheme (Anglian/Thames)",C3)))</formula>
    </cfRule>
  </conditionalFormatting>
  <conditionalFormatting sqref="C53:C58">
    <cfRule type="cellIs" dxfId="7" priority="6" operator="lessThan">
      <formula>0</formula>
    </cfRule>
  </conditionalFormatting>
  <conditionalFormatting sqref="C10">
    <cfRule type="containsText" dxfId="6" priority="3" operator="containsText" text="Consult Relevant Sewerage Charges Scheme (Anglian/Thames)">
      <formula>NOT(ISERROR(SEARCH("Consult Relevant Sewerage Charges Scheme (Anglian/Thames)",C10)))</formula>
    </cfRule>
  </conditionalFormatting>
  <conditionalFormatting sqref="D7">
    <cfRule type="containsText" dxfId="5" priority="1" operator="containsText" text="Consult Relevant Sewerage Charges Scheme (Anglian/Thames)">
      <formula>NOT(ISERROR(SEARCH("Consult Relevant Sewerage Charges Scheme (Anglian/Thames)",D7)))</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67"/>
  <sheetViews>
    <sheetView topLeftCell="A34" workbookViewId="0">
      <selection activeCell="C13" sqref="C13:E13"/>
    </sheetView>
  </sheetViews>
  <sheetFormatPr defaultRowHeight="15" x14ac:dyDescent="0.25"/>
  <cols>
    <col min="1" max="1" width="3.7109375" customWidth="1"/>
    <col min="2" max="2" width="35.7109375" customWidth="1"/>
    <col min="3" max="5" width="13.7109375" customWidth="1"/>
    <col min="6" max="6" width="10.7109375" customWidth="1"/>
    <col min="7" max="7" width="5" customWidth="1"/>
    <col min="9" max="9" width="11.42578125" customWidth="1"/>
  </cols>
  <sheetData>
    <row r="1" spans="2:8" x14ac:dyDescent="0.25">
      <c r="B1" s="2" t="s">
        <v>0</v>
      </c>
      <c r="C1" s="1"/>
      <c r="D1" s="1"/>
      <c r="E1" s="1"/>
      <c r="F1" s="1"/>
      <c r="G1" s="1"/>
      <c r="H1" s="1"/>
    </row>
    <row r="2" spans="2:8" x14ac:dyDescent="0.25">
      <c r="B2" s="1"/>
      <c r="C2" s="1"/>
      <c r="D2" s="1"/>
      <c r="E2" s="1"/>
      <c r="F2" s="1"/>
      <c r="G2" s="1"/>
      <c r="H2" s="1"/>
    </row>
    <row r="3" spans="2:8" x14ac:dyDescent="0.25">
      <c r="B3" s="1" t="s">
        <v>1</v>
      </c>
      <c r="C3" s="62" t="str">
        <f>+'Input Site Information'!C13</f>
        <v>NW</v>
      </c>
      <c r="D3" s="60"/>
      <c r="E3" s="60"/>
      <c r="F3" s="60"/>
      <c r="G3" s="1"/>
      <c r="H3" s="1"/>
    </row>
    <row r="4" spans="2:8" x14ac:dyDescent="0.25">
      <c r="B4" s="1" t="s">
        <v>90</v>
      </c>
      <c r="C4" s="47">
        <f>+'Input Site Information'!C29</f>
        <v>1</v>
      </c>
      <c r="D4" s="60"/>
      <c r="E4" s="60"/>
      <c r="F4" s="60"/>
      <c r="G4" s="1"/>
      <c r="H4" s="1"/>
    </row>
    <row r="5" spans="2:8" x14ac:dyDescent="0.25">
      <c r="B5" s="1" t="s">
        <v>95</v>
      </c>
      <c r="C5" s="47"/>
      <c r="D5" s="60"/>
      <c r="E5" s="60"/>
      <c r="F5" s="60"/>
      <c r="G5" s="1"/>
      <c r="H5" s="1"/>
    </row>
    <row r="6" spans="2:8" x14ac:dyDescent="0.25">
      <c r="B6" s="1" t="s">
        <v>86</v>
      </c>
      <c r="C6" s="47">
        <f>+'Input Site Information'!C33</f>
        <v>0</v>
      </c>
      <c r="D6" s="59" t="s">
        <v>89</v>
      </c>
      <c r="E6" s="60"/>
      <c r="F6" s="60"/>
      <c r="G6" s="1"/>
      <c r="H6" s="1"/>
    </row>
    <row r="7" spans="2:8" x14ac:dyDescent="0.25">
      <c r="B7" s="1" t="s">
        <v>31</v>
      </c>
      <c r="C7" s="47">
        <f>SUM('Input Site Information'!C39:C44)</f>
        <v>0</v>
      </c>
      <c r="D7" s="60"/>
      <c r="E7" s="60"/>
      <c r="F7" s="60"/>
      <c r="G7" s="1"/>
      <c r="H7" s="1"/>
    </row>
    <row r="8" spans="2:8" x14ac:dyDescent="0.25">
      <c r="B8" s="1" t="s">
        <v>92</v>
      </c>
      <c r="C8" s="47"/>
      <c r="D8" s="60"/>
      <c r="E8" s="60"/>
      <c r="F8" s="60"/>
      <c r="G8" s="1"/>
      <c r="H8" s="1"/>
    </row>
    <row r="9" spans="2:8" ht="15.75" thickBot="1" x14ac:dyDescent="0.3">
      <c r="B9" s="1"/>
      <c r="C9" s="60"/>
      <c r="D9" s="60"/>
      <c r="E9" s="60"/>
      <c r="F9" s="60"/>
      <c r="G9" s="1"/>
      <c r="H9" s="1"/>
    </row>
    <row r="10" spans="2:8" ht="15.75" thickBot="1" x14ac:dyDescent="0.3">
      <c r="B10" s="138" t="s">
        <v>78</v>
      </c>
      <c r="C10" s="139"/>
      <c r="D10" s="139"/>
      <c r="E10" s="139"/>
      <c r="F10" s="140"/>
      <c r="G10" s="1"/>
      <c r="H10" s="1"/>
    </row>
    <row r="11" spans="2:8" x14ac:dyDescent="0.25">
      <c r="B11" s="39"/>
      <c r="C11" s="44" t="s">
        <v>6</v>
      </c>
      <c r="D11" s="44"/>
      <c r="E11" s="44" t="s">
        <v>17</v>
      </c>
      <c r="F11" s="52" t="s">
        <v>7</v>
      </c>
      <c r="G11" s="1"/>
      <c r="H11" s="1"/>
    </row>
    <row r="12" spans="2:8" ht="30" x14ac:dyDescent="0.25">
      <c r="B12" s="39" t="s">
        <v>83</v>
      </c>
      <c r="C12" s="57">
        <f>VLOOKUP($C$3,Tariffs!$A$59:$G$60,4,FALSE)</f>
        <v>335</v>
      </c>
      <c r="D12" s="54"/>
      <c r="E12" s="55">
        <f>+C5-E13</f>
        <v>-50</v>
      </c>
      <c r="F12" s="53">
        <f>+C12*E12</f>
        <v>-16750</v>
      </c>
      <c r="G12" s="1"/>
      <c r="H12" s="1"/>
    </row>
    <row r="13" spans="2:8" ht="30" x14ac:dyDescent="0.25">
      <c r="B13" s="39" t="s">
        <v>88</v>
      </c>
      <c r="C13" s="58">
        <v>0</v>
      </c>
      <c r="D13" s="54"/>
      <c r="E13" s="56">
        <v>50</v>
      </c>
      <c r="F13" s="53">
        <f>+C13*E13</f>
        <v>0</v>
      </c>
      <c r="G13" s="1"/>
      <c r="H13" s="1"/>
    </row>
    <row r="14" spans="2:8" x14ac:dyDescent="0.25">
      <c r="B14" s="22"/>
      <c r="C14" s="44"/>
      <c r="D14" s="44"/>
      <c r="E14" s="44"/>
      <c r="F14" s="53"/>
      <c r="G14" s="1"/>
      <c r="H14" s="1"/>
    </row>
    <row r="15" spans="2:8" ht="15.75" thickBot="1" x14ac:dyDescent="0.3">
      <c r="B15" s="27" t="s">
        <v>85</v>
      </c>
      <c r="C15" s="51"/>
      <c r="D15" s="51"/>
      <c r="E15" s="51"/>
      <c r="F15" s="65" t="str">
        <f>IF(E12 &lt; 0, "CHECK NHH PROPERTY INFO", (SUM(F12:F14)))</f>
        <v>CHECK NHH PROPERTY INFO</v>
      </c>
      <c r="G15" s="1"/>
      <c r="H15" s="1"/>
    </row>
    <row r="16" spans="2:8" ht="15.75" thickBot="1" x14ac:dyDescent="0.3">
      <c r="B16" s="1"/>
      <c r="C16" s="1"/>
      <c r="D16" s="1"/>
      <c r="E16" s="1"/>
      <c r="F16" s="1"/>
      <c r="G16" s="1"/>
      <c r="H16" s="1"/>
    </row>
    <row r="17" spans="2:8" ht="15.75" thickBot="1" x14ac:dyDescent="0.3">
      <c r="B17" s="138" t="s">
        <v>29</v>
      </c>
      <c r="C17" s="139"/>
      <c r="D17" s="139"/>
      <c r="E17" s="139"/>
      <c r="F17" s="140"/>
      <c r="G17" s="1"/>
      <c r="H17" s="1"/>
    </row>
    <row r="18" spans="2:8" x14ac:dyDescent="0.25">
      <c r="B18" s="19" t="s">
        <v>19</v>
      </c>
      <c r="C18" s="20" t="s">
        <v>6</v>
      </c>
      <c r="D18" s="20" t="s">
        <v>16</v>
      </c>
      <c r="E18" s="20" t="s">
        <v>17</v>
      </c>
      <c r="F18" s="21" t="s">
        <v>7</v>
      </c>
      <c r="G18" s="1"/>
      <c r="H18" s="1"/>
    </row>
    <row r="19" spans="2:8" x14ac:dyDescent="0.25">
      <c r="B19" s="22" t="s">
        <v>4</v>
      </c>
      <c r="C19" s="15">
        <f>VLOOKUP($C$3,Tariffs!$A$13:$H$14,2,FALSE)</f>
        <v>0.72460000000000002</v>
      </c>
      <c r="D19" s="23">
        <f>+C6</f>
        <v>0</v>
      </c>
      <c r="E19" s="15"/>
      <c r="F19" s="24">
        <f>+C19*D19</f>
        <v>0</v>
      </c>
      <c r="G19" s="1"/>
      <c r="H19" s="1"/>
    </row>
    <row r="20" spans="2:8" x14ac:dyDescent="0.25">
      <c r="B20" s="32" t="s">
        <v>23</v>
      </c>
      <c r="C20" s="15">
        <f>VLOOKUP($C$3,Tariffs!$A$13:$H$14,3,FALSE)</f>
        <v>64.150000000000006</v>
      </c>
      <c r="D20" s="15"/>
      <c r="E20" s="23">
        <f>IF('Input Site Information'!C23 = "Y",C4,0)</f>
        <v>1</v>
      </c>
      <c r="F20" s="24">
        <f>IF('Input Site Information'!C23 = "N",'Post April 2018 - Sewerage'!E21*'Post April 2018 - Sewerage'!C21,'Post April 2018 - Sewerage'!C20*'Post April 2018 - Sewerage'!E20)</f>
        <v>64.150000000000006</v>
      </c>
      <c r="G20" s="1"/>
      <c r="H20" s="1"/>
    </row>
    <row r="21" spans="2:8" x14ac:dyDescent="0.25">
      <c r="B21" s="22" t="s">
        <v>24</v>
      </c>
      <c r="C21" s="15">
        <f>VLOOKUP($C$3,Tariffs!$A$13:$H$14,4,FALSE)</f>
        <v>17.900000000000002</v>
      </c>
      <c r="D21" s="15"/>
      <c r="E21" s="45">
        <f>+'Input Site Information'!C29</f>
        <v>1</v>
      </c>
      <c r="F21" s="24"/>
      <c r="G21" s="1"/>
      <c r="H21" s="1"/>
    </row>
    <row r="22" spans="2:8" x14ac:dyDescent="0.25">
      <c r="B22" s="22"/>
      <c r="C22" s="15"/>
      <c r="D22" s="15"/>
      <c r="E22" s="15"/>
      <c r="F22" s="25"/>
      <c r="G22" s="1"/>
      <c r="H22" s="1"/>
    </row>
    <row r="23" spans="2:8" x14ac:dyDescent="0.25">
      <c r="B23" s="19" t="s">
        <v>8</v>
      </c>
      <c r="C23" s="15"/>
      <c r="D23" s="15"/>
      <c r="E23" s="15"/>
      <c r="F23" s="25"/>
      <c r="G23" s="1"/>
      <c r="H23" s="1"/>
    </row>
    <row r="24" spans="2:8" x14ac:dyDescent="0.25">
      <c r="B24" s="22" t="s">
        <v>174</v>
      </c>
      <c r="C24" s="15">
        <f>VLOOKUP($C$3,Tariffs!$A$13:$H$14,5,FALSE)</f>
        <v>-2.6</v>
      </c>
      <c r="D24" s="15"/>
      <c r="E24" s="23">
        <f>+'Input Site Information'!C29</f>
        <v>1</v>
      </c>
      <c r="F24" s="24"/>
      <c r="G24" s="1"/>
      <c r="H24" s="1"/>
    </row>
    <row r="25" spans="2:8" x14ac:dyDescent="0.25">
      <c r="B25" s="22" t="s">
        <v>175</v>
      </c>
      <c r="C25" s="15">
        <f>VLOOKUP($C$3,Tariffs!$A$13:$H$14,6,FALSE)</f>
        <v>-4.87</v>
      </c>
      <c r="D25" s="15"/>
      <c r="E25" s="23">
        <f>+E20</f>
        <v>1</v>
      </c>
      <c r="F25" s="24">
        <f>IF('Input Site Information'!C23 = "N",E24*C24,C25*E25)</f>
        <v>-4.87</v>
      </c>
      <c r="G25" s="1"/>
      <c r="H25" s="1"/>
    </row>
    <row r="26" spans="2:8" x14ac:dyDescent="0.25">
      <c r="B26" s="22" t="s">
        <v>9</v>
      </c>
      <c r="C26" s="15">
        <f>VLOOKUP($C$3,Tariffs!$A$13:$H$14,7,FALSE)</f>
        <v>-1.3</v>
      </c>
      <c r="D26" s="15"/>
      <c r="E26" s="23">
        <f>+E21</f>
        <v>1</v>
      </c>
      <c r="F26" s="24">
        <f t="shared" ref="F26" si="0">+E26*C26</f>
        <v>-1.3</v>
      </c>
      <c r="G26" s="1"/>
      <c r="H26" s="1"/>
    </row>
    <row r="27" spans="2:8" x14ac:dyDescent="0.25">
      <c r="B27" s="22" t="s">
        <v>14</v>
      </c>
      <c r="C27" s="15">
        <f>VLOOKUP($C$3,Tariffs!$A$13:$H$14,8,FALSE)</f>
        <v>-2.01E-2</v>
      </c>
      <c r="D27" s="23">
        <f>+D19</f>
        <v>0</v>
      </c>
      <c r="E27" s="15"/>
      <c r="F27" s="24">
        <f>+C27*D27</f>
        <v>0</v>
      </c>
      <c r="G27" s="1"/>
      <c r="H27" s="1"/>
    </row>
    <row r="28" spans="2:8" ht="15.75" thickBot="1" x14ac:dyDescent="0.3">
      <c r="B28" s="22"/>
      <c r="C28" s="15"/>
      <c r="D28" s="23"/>
      <c r="E28" s="15"/>
      <c r="F28" s="24"/>
      <c r="G28" s="1"/>
      <c r="H28" s="1"/>
    </row>
    <row r="29" spans="2:8" ht="15.75" thickBot="1" x14ac:dyDescent="0.3">
      <c r="B29" s="138" t="s">
        <v>30</v>
      </c>
      <c r="C29" s="139"/>
      <c r="D29" s="139"/>
      <c r="E29" s="139"/>
      <c r="F29" s="140"/>
      <c r="G29" s="1"/>
      <c r="H29" s="1"/>
    </row>
    <row r="30" spans="2:8" x14ac:dyDescent="0.25">
      <c r="B30" s="22"/>
      <c r="C30" s="15"/>
      <c r="D30" s="23"/>
      <c r="E30" s="15"/>
      <c r="F30" s="24"/>
      <c r="G30" s="1"/>
      <c r="H30" s="1"/>
    </row>
    <row r="31" spans="2:8" x14ac:dyDescent="0.25">
      <c r="B31" s="19" t="s">
        <v>19</v>
      </c>
      <c r="C31" s="20" t="s">
        <v>6</v>
      </c>
      <c r="D31" s="20" t="s">
        <v>16</v>
      </c>
      <c r="E31" s="20" t="s">
        <v>17</v>
      </c>
      <c r="F31" s="21" t="s">
        <v>7</v>
      </c>
      <c r="G31" s="1"/>
      <c r="H31" s="1"/>
    </row>
    <row r="32" spans="2:8" x14ac:dyDescent="0.25">
      <c r="B32" s="22"/>
      <c r="C32" s="15"/>
      <c r="D32" s="23"/>
      <c r="E32" s="15"/>
      <c r="F32" s="24"/>
      <c r="G32" s="1"/>
      <c r="H32" s="1"/>
    </row>
    <row r="33" spans="2:9" x14ac:dyDescent="0.25">
      <c r="B33" s="22" t="s">
        <v>4</v>
      </c>
      <c r="C33" s="15">
        <f>VLOOKUP($C$3,Tariffs!$A$25:$H$26,2,FALSE)</f>
        <v>1.0354000000000001</v>
      </c>
      <c r="D33" s="45">
        <f>+'Input Site Information'!C48</f>
        <v>0</v>
      </c>
      <c r="E33" s="15"/>
      <c r="F33" s="24">
        <f>+C33*D33</f>
        <v>0</v>
      </c>
      <c r="G33" s="1"/>
      <c r="H33" s="1"/>
    </row>
    <row r="34" spans="2:9" ht="30" x14ac:dyDescent="0.25">
      <c r="B34" s="33" t="s">
        <v>69</v>
      </c>
      <c r="C34" s="15"/>
      <c r="D34" s="23"/>
      <c r="E34" s="15"/>
      <c r="F34" s="24">
        <f>+I65</f>
        <v>0</v>
      </c>
      <c r="G34" s="1"/>
      <c r="H34" s="1"/>
    </row>
    <row r="35" spans="2:9" ht="14.25" customHeight="1" x14ac:dyDescent="0.25">
      <c r="B35" s="22"/>
      <c r="C35" s="15"/>
      <c r="D35" s="23"/>
      <c r="E35" s="15"/>
      <c r="F35" s="24"/>
      <c r="G35" s="1"/>
      <c r="H35" s="1"/>
    </row>
    <row r="36" spans="2:9" x14ac:dyDescent="0.25">
      <c r="B36" s="19" t="s">
        <v>8</v>
      </c>
      <c r="C36" s="15"/>
      <c r="D36" s="23"/>
      <c r="E36" s="15"/>
      <c r="F36" s="24"/>
      <c r="G36" s="1"/>
      <c r="H36" s="1"/>
    </row>
    <row r="37" spans="2:9" x14ac:dyDescent="0.25">
      <c r="B37" s="22" t="s">
        <v>10</v>
      </c>
      <c r="C37" s="15">
        <f>VLOOKUP($C$3,Tariffs!$A$25:$H$26,5,FALSE)</f>
        <v>-2.7400000000000001E-2</v>
      </c>
      <c r="D37" s="23">
        <f>+D33</f>
        <v>0</v>
      </c>
      <c r="E37" s="15"/>
      <c r="F37" s="24">
        <f t="shared" ref="F37:F39" si="1">+C37*D37</f>
        <v>0</v>
      </c>
      <c r="G37" s="1"/>
      <c r="H37" s="1"/>
    </row>
    <row r="38" spans="2:9" x14ac:dyDescent="0.25">
      <c r="B38" s="22" t="s">
        <v>9</v>
      </c>
      <c r="C38" s="15">
        <f>VLOOKUP($C$3,Tariffs!$A$25:$H$26,7,FALSE)</f>
        <v>-1.37E-2</v>
      </c>
      <c r="D38" s="23">
        <f>+D33</f>
        <v>0</v>
      </c>
      <c r="E38" s="15"/>
      <c r="F38" s="24">
        <f t="shared" si="1"/>
        <v>0</v>
      </c>
      <c r="G38" s="1"/>
      <c r="H38" s="1"/>
    </row>
    <row r="39" spans="2:9" x14ac:dyDescent="0.25">
      <c r="B39" s="22" t="s">
        <v>14</v>
      </c>
      <c r="C39" s="15">
        <f>VLOOKUP($C$3,Tariffs!$A$25:$H$26,8,FALSE)</f>
        <v>-2.87E-2</v>
      </c>
      <c r="D39" s="23">
        <f>+D33</f>
        <v>0</v>
      </c>
      <c r="E39" s="15"/>
      <c r="F39" s="24">
        <f t="shared" si="1"/>
        <v>0</v>
      </c>
      <c r="G39" s="1"/>
      <c r="H39" s="1"/>
    </row>
    <row r="40" spans="2:9" x14ac:dyDescent="0.25">
      <c r="B40" s="22"/>
      <c r="C40" s="15"/>
      <c r="D40" s="15"/>
      <c r="E40" s="15"/>
      <c r="F40" s="25"/>
      <c r="G40" s="1"/>
      <c r="H40" s="1"/>
    </row>
    <row r="41" spans="2:9" ht="15.75" thickBot="1" x14ac:dyDescent="0.3">
      <c r="B41" s="27" t="s">
        <v>27</v>
      </c>
      <c r="C41" s="4"/>
      <c r="D41" s="4"/>
      <c r="E41" s="4"/>
      <c r="F41" s="28">
        <f>IF(E20 &lt; 0, "CHECK NHH PROPERTY INFO", (SUM(F19:F40)))</f>
        <v>57.980000000000011</v>
      </c>
      <c r="G41" s="1"/>
      <c r="H41" s="1"/>
    </row>
    <row r="42" spans="2:9" x14ac:dyDescent="0.25">
      <c r="B42" s="1"/>
      <c r="C42" s="1"/>
      <c r="D42" s="1"/>
      <c r="E42" s="1"/>
      <c r="F42" s="1"/>
      <c r="G42" s="1"/>
      <c r="H42" s="1"/>
    </row>
    <row r="43" spans="2:9" ht="15.75" thickBot="1" x14ac:dyDescent="0.3">
      <c r="B43" s="3" t="s">
        <v>28</v>
      </c>
      <c r="C43" s="3"/>
      <c r="D43" s="3"/>
      <c r="E43" s="3"/>
      <c r="F43" s="41" t="str">
        <f>IFERROR(IF(C50 &lt; 0, "CHECK NHH PROPERTY INFO", (F41+F15)), "CHECK NHH PROPERTY INFO")</f>
        <v>CHECK NHH PROPERTY INFO</v>
      </c>
      <c r="G43" s="1"/>
      <c r="H43" s="1"/>
    </row>
    <row r="44" spans="2:9" x14ac:dyDescent="0.25">
      <c r="B44" s="1"/>
      <c r="C44" s="1"/>
      <c r="D44" s="1"/>
      <c r="E44" s="1"/>
      <c r="F44" s="1"/>
      <c r="G44" s="1"/>
      <c r="H44" s="1"/>
    </row>
    <row r="45" spans="2:9" ht="15.75" thickBot="1" x14ac:dyDescent="0.3">
      <c r="B45" s="1"/>
      <c r="C45" s="1"/>
      <c r="D45" s="1" t="str">
        <f>IF(AND(B1="this",C1="that"),"x","")</f>
        <v/>
      </c>
      <c r="E45" s="1"/>
      <c r="F45" s="1"/>
      <c r="G45" s="1"/>
      <c r="H45" s="1"/>
    </row>
    <row r="46" spans="2:9" x14ac:dyDescent="0.25">
      <c r="B46" s="135" t="s">
        <v>77</v>
      </c>
      <c r="C46" s="136"/>
      <c r="D46" s="137"/>
      <c r="E46" s="36"/>
      <c r="F46" s="36"/>
      <c r="G46" s="1"/>
      <c r="H46" s="1"/>
    </row>
    <row r="47" spans="2:9" x14ac:dyDescent="0.25">
      <c r="B47" s="6"/>
      <c r="C47" s="142" t="s">
        <v>48</v>
      </c>
      <c r="D47" s="143"/>
      <c r="H47" s="144" t="s">
        <v>68</v>
      </c>
      <c r="I47" s="144"/>
    </row>
    <row r="48" spans="2:9" x14ac:dyDescent="0.25">
      <c r="B48" s="9" t="s">
        <v>32</v>
      </c>
      <c r="C48" s="42" t="s">
        <v>49</v>
      </c>
      <c r="D48" s="43" t="s">
        <v>50</v>
      </c>
      <c r="H48" s="144"/>
      <c r="I48" s="144"/>
    </row>
    <row r="49" spans="2:9" x14ac:dyDescent="0.25">
      <c r="B49" s="6"/>
      <c r="C49" s="7"/>
      <c r="D49" s="8"/>
    </row>
    <row r="50" spans="2:9" x14ac:dyDescent="0.25">
      <c r="B50" s="37" t="s">
        <v>33</v>
      </c>
      <c r="C50" s="38">
        <f>IF('Input Site Information'!$C$13="ESW",0,(IF('Input Site Information'!$C$23="N",0,'Input Site Information'!C52)))</f>
        <v>0</v>
      </c>
      <c r="D50" s="111">
        <f>+'Input Site Information'!C52-C50</f>
        <v>0</v>
      </c>
      <c r="H50" t="s">
        <v>53</v>
      </c>
      <c r="I50" s="30">
        <f>(C50*VLOOKUP(H50,Tariffs!$A$29:$C$43,2,FALSE))+(D50*VLOOKUP(H50,Tariffs!$A$29:$C$43,3,FALSE))</f>
        <v>0</v>
      </c>
    </row>
    <row r="51" spans="2:9" x14ac:dyDescent="0.25">
      <c r="B51" s="37" t="s">
        <v>34</v>
      </c>
      <c r="C51" s="38">
        <f>IF('Input Site Information'!$C$13="ESW",0,(IF('Input Site Information'!$C$23="N",0,'Input Site Information'!C53)))</f>
        <v>0</v>
      </c>
      <c r="D51" s="111">
        <f>+'Input Site Information'!C53-C51</f>
        <v>0</v>
      </c>
      <c r="H51" t="s">
        <v>54</v>
      </c>
      <c r="I51" s="30">
        <f>(C51*VLOOKUP(H51,Tariffs!$A$29:$C$43,2,FALSE))+(D51*VLOOKUP(H51,Tariffs!$A$29:$C$43,3,FALSE))</f>
        <v>0</v>
      </c>
    </row>
    <row r="52" spans="2:9" x14ac:dyDescent="0.25">
      <c r="B52" s="37" t="s">
        <v>35</v>
      </c>
      <c r="C52" s="38">
        <f>IF('Input Site Information'!$C$13="ESW",0,(IF('Input Site Information'!$C$23="N",0,'Input Site Information'!C54)))</f>
        <v>0</v>
      </c>
      <c r="D52" s="111">
        <f>+'Input Site Information'!C54-C52</f>
        <v>0</v>
      </c>
      <c r="H52" t="s">
        <v>55</v>
      </c>
      <c r="I52" s="30">
        <f>(C52*VLOOKUP(H52,Tariffs!$A$29:$C$43,2,FALSE))+(D52*VLOOKUP(H52,Tariffs!$A$29:$C$43,3,FALSE))</f>
        <v>0</v>
      </c>
    </row>
    <row r="53" spans="2:9" x14ac:dyDescent="0.25">
      <c r="B53" s="37" t="s">
        <v>36</v>
      </c>
      <c r="C53" s="38">
        <f>IF('Input Site Information'!$C$13="ESW",0,(IF('Input Site Information'!$C$23="N",0,'Input Site Information'!C55)))</f>
        <v>0</v>
      </c>
      <c r="D53" s="111">
        <f>+'Input Site Information'!C55-C53</f>
        <v>0</v>
      </c>
      <c r="H53" t="s">
        <v>56</v>
      </c>
      <c r="I53" s="30">
        <f>(C53*VLOOKUP(H53,Tariffs!$A$29:$C$43,2,FALSE))+(D53*VLOOKUP(H53,Tariffs!$A$29:$C$43,3,FALSE))</f>
        <v>0</v>
      </c>
    </row>
    <row r="54" spans="2:9" x14ac:dyDescent="0.25">
      <c r="B54" s="37" t="s">
        <v>37</v>
      </c>
      <c r="C54" s="38">
        <f>IF('Input Site Information'!$C$13="ESW",0,(IF('Input Site Information'!$C$23="N",0,'Input Site Information'!C56)))</f>
        <v>0</v>
      </c>
      <c r="D54" s="111">
        <f>+'Input Site Information'!C56-C54</f>
        <v>0</v>
      </c>
      <c r="H54" t="s">
        <v>57</v>
      </c>
      <c r="I54" s="30">
        <f>(C54*VLOOKUP(H54,Tariffs!$A$29:$C$43,2,FALSE))+(D54*VLOOKUP(H54,Tariffs!$A$29:$C$43,3,FALSE))</f>
        <v>0</v>
      </c>
    </row>
    <row r="55" spans="2:9" x14ac:dyDescent="0.25">
      <c r="B55" s="37" t="s">
        <v>38</v>
      </c>
      <c r="C55" s="38">
        <f>IF('Input Site Information'!$C$13="ESW",0,(IF('Input Site Information'!$C$23="N",0,'Input Site Information'!C57)))</f>
        <v>0</v>
      </c>
      <c r="D55" s="111">
        <f>+'Input Site Information'!C57-C55</f>
        <v>0</v>
      </c>
      <c r="H55" t="s">
        <v>58</v>
      </c>
      <c r="I55" s="30">
        <f>(C55*VLOOKUP(H55,Tariffs!$A$29:$C$43,2,FALSE))+(D55*VLOOKUP(H55,Tariffs!$A$29:$C$43,3,FALSE))</f>
        <v>0</v>
      </c>
    </row>
    <row r="56" spans="2:9" x14ac:dyDescent="0.25">
      <c r="B56" s="37" t="s">
        <v>39</v>
      </c>
      <c r="C56" s="38">
        <f>IF('Input Site Information'!$C$13="ESW",0,(IF('Input Site Information'!$C$23="N",0,'Input Site Information'!C58)))</f>
        <v>0</v>
      </c>
      <c r="D56" s="111">
        <f>+'Input Site Information'!C58-C56</f>
        <v>0</v>
      </c>
      <c r="H56" t="s">
        <v>59</v>
      </c>
      <c r="I56" s="30">
        <f>(C56*VLOOKUP(H56,Tariffs!$A$29:$C$43,2,FALSE))+(D56*VLOOKUP(H56,Tariffs!$A$29:$C$43,3,FALSE))</f>
        <v>0</v>
      </c>
    </row>
    <row r="57" spans="2:9" x14ac:dyDescent="0.25">
      <c r="B57" s="37" t="s">
        <v>40</v>
      </c>
      <c r="C57" s="38">
        <f>IF('Input Site Information'!$C$13="ESW",0,(IF('Input Site Information'!$C$23="N",0,'Input Site Information'!C59)))</f>
        <v>0</v>
      </c>
      <c r="D57" s="111">
        <f>+'Input Site Information'!C59-C57</f>
        <v>0</v>
      </c>
      <c r="H57" t="s">
        <v>60</v>
      </c>
      <c r="I57" s="30">
        <f>(C57*VLOOKUP(H57,Tariffs!$A$29:$C$43,2,FALSE))+(D57*VLOOKUP(H57,Tariffs!$A$29:$C$43,3,FALSE))</f>
        <v>0</v>
      </c>
    </row>
    <row r="58" spans="2:9" x14ac:dyDescent="0.25">
      <c r="B58" s="37" t="s">
        <v>41</v>
      </c>
      <c r="C58" s="38">
        <f>IF('Input Site Information'!$C$13="ESW",0,(IF('Input Site Information'!$C$23="N",0,'Input Site Information'!C60)))</f>
        <v>0</v>
      </c>
      <c r="D58" s="111">
        <f>+'Input Site Information'!C60-C58</f>
        <v>0</v>
      </c>
      <c r="H58" t="s">
        <v>61</v>
      </c>
      <c r="I58" s="30">
        <f>(C58*VLOOKUP(H58,Tariffs!$A$29:$C$43,2,FALSE))+(D58*VLOOKUP(H58,Tariffs!$A$29:$C$43,3,FALSE))</f>
        <v>0</v>
      </c>
    </row>
    <row r="59" spans="2:9" x14ac:dyDescent="0.25">
      <c r="B59" s="37" t="s">
        <v>42</v>
      </c>
      <c r="C59" s="38">
        <f>IF('Input Site Information'!$C$13="ESW",0,(IF('Input Site Information'!$C$23="N",0,'Input Site Information'!C61)))</f>
        <v>0</v>
      </c>
      <c r="D59" s="111">
        <f>+'Input Site Information'!C61-C59</f>
        <v>0</v>
      </c>
      <c r="H59" t="s">
        <v>62</v>
      </c>
      <c r="I59" s="30">
        <f>(C59*VLOOKUP(H59,Tariffs!$A$29:$C$43,2,FALSE))+(D59*VLOOKUP(H59,Tariffs!$A$29:$C$43,3,FALSE))</f>
        <v>0</v>
      </c>
    </row>
    <row r="60" spans="2:9" x14ac:dyDescent="0.25">
      <c r="B60" s="37" t="s">
        <v>43</v>
      </c>
      <c r="C60" s="38">
        <f>IF('Input Site Information'!$C$13="ESW",0,(IF('Input Site Information'!$C$23="N",0,'Input Site Information'!C62)))</f>
        <v>0</v>
      </c>
      <c r="D60" s="111">
        <f>+'Input Site Information'!C62-C60</f>
        <v>0</v>
      </c>
      <c r="H60" t="s">
        <v>63</v>
      </c>
      <c r="I60" s="30">
        <f>(C60*VLOOKUP(H60,Tariffs!$A$29:$C$43,2,FALSE))+(D60*VLOOKUP(H60,Tariffs!$A$29:$C$43,3,FALSE))</f>
        <v>0</v>
      </c>
    </row>
    <row r="61" spans="2:9" x14ac:dyDescent="0.25">
      <c r="B61" s="37" t="s">
        <v>44</v>
      </c>
      <c r="C61" s="38">
        <f>IF('Input Site Information'!$C$13="ESW",0,(IF('Input Site Information'!$C$23="N",0,'Input Site Information'!C63)))</f>
        <v>0</v>
      </c>
      <c r="D61" s="111">
        <f>+'Input Site Information'!C63-C61</f>
        <v>0</v>
      </c>
      <c r="H61" t="s">
        <v>64</v>
      </c>
      <c r="I61" s="30">
        <f>(C61*VLOOKUP(H61,Tariffs!$A$29:$C$43,2,FALSE))+(D61*VLOOKUP(H61,Tariffs!$A$29:$C$43,3,FALSE))</f>
        <v>0</v>
      </c>
    </row>
    <row r="62" spans="2:9" x14ac:dyDescent="0.25">
      <c r="B62" s="37" t="s">
        <v>45</v>
      </c>
      <c r="C62" s="38">
        <f>IF('Input Site Information'!$C$13="ESW",0,(IF('Input Site Information'!$C$23="N",0,'Input Site Information'!C64)))</f>
        <v>0</v>
      </c>
      <c r="D62" s="111">
        <f>+'Input Site Information'!C64-C62</f>
        <v>0</v>
      </c>
      <c r="H62" t="s">
        <v>65</v>
      </c>
      <c r="I62" s="30">
        <f>(C62*VLOOKUP(H62,Tariffs!$A$29:$C$43,2,FALSE))+(D62*VLOOKUP(H62,Tariffs!$A$29:$C$43,3,FALSE))</f>
        <v>0</v>
      </c>
    </row>
    <row r="63" spans="2:9" x14ac:dyDescent="0.25">
      <c r="B63" s="37" t="s">
        <v>46</v>
      </c>
      <c r="C63" s="38">
        <f>IF('Input Site Information'!$C$13="ESW",0,(IF('Input Site Information'!$C$23="N",0,'Input Site Information'!C65)))</f>
        <v>0</v>
      </c>
      <c r="D63" s="111">
        <f>+'Input Site Information'!C65-C63</f>
        <v>0</v>
      </c>
      <c r="H63" t="s">
        <v>66</v>
      </c>
      <c r="I63" s="30">
        <f>(C63*VLOOKUP(H63,Tariffs!$A$29:$C$43,2,FALSE))+(D63*VLOOKUP(H63,Tariffs!$A$29:$C$43,3,FALSE))</f>
        <v>0</v>
      </c>
    </row>
    <row r="64" spans="2:9" x14ac:dyDescent="0.25">
      <c r="B64" s="37" t="s">
        <v>47</v>
      </c>
      <c r="C64" s="38">
        <f>IF('Input Site Information'!$C$13="ESW",0,(IF('Input Site Information'!$C$23="N",0,'Input Site Information'!C66)))</f>
        <v>0</v>
      </c>
      <c r="D64" s="111">
        <f>+'Input Site Information'!C66-C64</f>
        <v>0</v>
      </c>
      <c r="H64" t="s">
        <v>67</v>
      </c>
      <c r="I64" s="30">
        <f>(C64*VLOOKUP(H64,Tariffs!$A$29:$C$43,2,FALSE))+(D64*VLOOKUP(H64,Tariffs!$A$29:$C$43,3,FALSE))</f>
        <v>0</v>
      </c>
    </row>
    <row r="65" spans="2:9" x14ac:dyDescent="0.25">
      <c r="B65" s="6"/>
      <c r="C65" s="7"/>
      <c r="D65" s="8"/>
      <c r="I65" s="31">
        <f>SUM(I50:I64)</f>
        <v>0</v>
      </c>
    </row>
    <row r="66" spans="2:9" x14ac:dyDescent="0.25">
      <c r="B66" s="6"/>
      <c r="C66" s="7"/>
      <c r="D66" s="8"/>
    </row>
    <row r="67" spans="2:9" ht="15.75" thickBot="1" x14ac:dyDescent="0.3">
      <c r="B67" s="10"/>
      <c r="C67" s="11"/>
      <c r="D67" s="12"/>
      <c r="I67" s="31"/>
    </row>
  </sheetData>
  <mergeCells count="6">
    <mergeCell ref="B46:D46"/>
    <mergeCell ref="C47:D47"/>
    <mergeCell ref="H47:I48"/>
    <mergeCell ref="B10:F10"/>
    <mergeCell ref="B17:F17"/>
    <mergeCell ref="B29:F29"/>
  </mergeCells>
  <conditionalFormatting sqref="C11:F11 D3:F5 E6:F6 D7:F9 C13:F14 D12:F12 C15:E15">
    <cfRule type="containsText" dxfId="4" priority="8" operator="containsText" text="Consult Relevant Sewerage Charges Scheme (Anglian/Thames)">
      <formula>NOT(ISERROR(SEARCH("Consult Relevant Sewerage Charges Scheme (Anglian/Thames)",C3)))</formula>
    </cfRule>
  </conditionalFormatting>
  <conditionalFormatting sqref="C50:C64">
    <cfRule type="cellIs" dxfId="3" priority="7" operator="lessThan">
      <formula>0</formula>
    </cfRule>
  </conditionalFormatting>
  <conditionalFormatting sqref="C9">
    <cfRule type="containsText" dxfId="2" priority="4" operator="containsText" text="Consult Relevant Sewerage Charges Scheme (Anglian/Thames)">
      <formula>NOT(ISERROR(SEARCH("Consult Relevant Sewerage Charges Scheme (Anglian/Thames)",C9)))</formula>
    </cfRule>
  </conditionalFormatting>
  <conditionalFormatting sqref="D6">
    <cfRule type="containsText" dxfId="1" priority="2" operator="containsText" text="Consult Relevant Sewerage Charges Scheme (Anglian/Thames)">
      <formula>NOT(ISERROR(SEARCH("Consult Relevant Sewerage Charges Scheme (Anglian/Thames)",D6)))</formula>
    </cfRule>
  </conditionalFormatting>
  <conditionalFormatting sqref="F15">
    <cfRule type="containsText" dxfId="0" priority="1" operator="containsText" text="Consult Relevant Sewerage Charges Scheme (Anglian/Thames)">
      <formula>NOT(ISERROR(SEARCH("Consult Relevant Sewerage Charges Scheme (Anglian/Thames)",F15)))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61"/>
  <sheetViews>
    <sheetView workbookViewId="0">
      <selection activeCell="C13" sqref="C13:E13"/>
    </sheetView>
  </sheetViews>
  <sheetFormatPr defaultRowHeight="15" x14ac:dyDescent="0.25"/>
  <cols>
    <col min="1" max="1" width="29.7109375" bestFit="1" customWidth="1"/>
    <col min="2" max="2" width="13.5703125" customWidth="1"/>
    <col min="3" max="3" width="16" bestFit="1" customWidth="1"/>
    <col min="4" max="4" width="15.28515625" bestFit="1" customWidth="1"/>
    <col min="5" max="5" width="19.5703125" bestFit="1" customWidth="1"/>
    <col min="6" max="6" width="19.5703125" customWidth="1"/>
    <col min="7" max="7" width="22.28515625" customWidth="1"/>
    <col min="8" max="8" width="11.42578125" bestFit="1" customWidth="1"/>
    <col min="9" max="9" width="15.28515625" customWidth="1"/>
  </cols>
  <sheetData>
    <row r="2" spans="1:13" x14ac:dyDescent="0.25">
      <c r="A2" t="s">
        <v>169</v>
      </c>
      <c r="B2" t="s">
        <v>171</v>
      </c>
    </row>
    <row r="3" spans="1:13" x14ac:dyDescent="0.25">
      <c r="A3" t="s">
        <v>170</v>
      </c>
      <c r="B3" t="s">
        <v>172</v>
      </c>
    </row>
    <row r="4" spans="1:13" ht="15.75" thickBot="1" x14ac:dyDescent="0.3"/>
    <row r="5" spans="1:13" x14ac:dyDescent="0.25">
      <c r="A5" s="146" t="s">
        <v>29</v>
      </c>
      <c r="B5" s="147"/>
      <c r="C5" s="147"/>
      <c r="D5" s="147"/>
      <c r="E5" s="147"/>
      <c r="F5" s="147"/>
      <c r="G5" s="147"/>
      <c r="H5" s="147"/>
      <c r="I5" s="148"/>
    </row>
    <row r="6" spans="1:13" x14ac:dyDescent="0.25">
      <c r="A6" s="9"/>
      <c r="B6" s="13"/>
      <c r="C6" s="13"/>
      <c r="D6" s="142" t="s">
        <v>11</v>
      </c>
      <c r="E6" s="142"/>
      <c r="F6" s="142"/>
      <c r="G6" s="142"/>
      <c r="H6" s="13"/>
      <c r="I6" s="8"/>
    </row>
    <row r="7" spans="1:13" x14ac:dyDescent="0.25">
      <c r="A7" s="9" t="s">
        <v>21</v>
      </c>
      <c r="B7" s="13" t="s">
        <v>4</v>
      </c>
      <c r="C7" s="13" t="s">
        <v>5</v>
      </c>
      <c r="D7" s="13" t="s">
        <v>12</v>
      </c>
      <c r="E7" s="13" t="s">
        <v>13</v>
      </c>
      <c r="F7" s="13"/>
      <c r="G7" s="13" t="s">
        <v>14</v>
      </c>
      <c r="H7" s="13" t="s">
        <v>15</v>
      </c>
      <c r="I7" s="8"/>
    </row>
    <row r="8" spans="1:13" x14ac:dyDescent="0.25">
      <c r="A8" s="6" t="s">
        <v>169</v>
      </c>
      <c r="B8" s="7">
        <f>+'[1]NAV 21-22 tariff'!$C$13</f>
        <v>1.0657000000000001</v>
      </c>
      <c r="C8" s="110">
        <f>+'[1]NAV 21-22 tariff'!$C$12</f>
        <v>20.200000000000003</v>
      </c>
      <c r="D8" s="7">
        <f>ROUND(-'[1]NAV 21-22 tariff'!$C$16,2)</f>
        <v>-19.170000000000002</v>
      </c>
      <c r="E8" s="7">
        <f>ROUND(-'[1]NAV 21-22 tariff'!$C$17,2)</f>
        <v>-7.18</v>
      </c>
      <c r="F8" s="7"/>
      <c r="G8" s="7">
        <f>-'[1]NAV 21-22 tariff'!$C$20</f>
        <v>-2.9600000000000001E-2</v>
      </c>
      <c r="H8" s="7">
        <v>95</v>
      </c>
      <c r="I8" s="8"/>
    </row>
    <row r="9" spans="1:13" x14ac:dyDescent="0.25">
      <c r="A9" s="6" t="s">
        <v>170</v>
      </c>
      <c r="B9" s="7">
        <f>+'[1]NAV 21-22 tariff'!$D$13</f>
        <v>1.2450000000000001</v>
      </c>
      <c r="C9" s="110">
        <f>+'[1]NAV 21-22 tariff'!$D$12</f>
        <v>20.200000000000003</v>
      </c>
      <c r="D9" s="7">
        <f>ROUND(-'[1]NAV 21-22 tariff'!$D$16,2)</f>
        <v>-19.170000000000002</v>
      </c>
      <c r="E9" s="7">
        <f>ROUND(-'[1]NAV 21-22 tariff'!$D$17,2)</f>
        <v>-7.18</v>
      </c>
      <c r="F9" s="7"/>
      <c r="G9" s="7">
        <f>-'[1]NAV 21-22 tariff'!$D$20</f>
        <v>-3.4599999999999999E-2</v>
      </c>
      <c r="H9" s="7">
        <v>99</v>
      </c>
      <c r="I9" s="8"/>
    </row>
    <row r="10" spans="1:13" x14ac:dyDescent="0.25">
      <c r="A10" s="6"/>
      <c r="B10" s="7"/>
      <c r="C10" s="7"/>
      <c r="D10" s="7"/>
      <c r="E10" s="7"/>
      <c r="F10" s="7"/>
      <c r="G10" s="7"/>
      <c r="H10" s="7"/>
      <c r="I10" s="8"/>
    </row>
    <row r="11" spans="1:13" x14ac:dyDescent="0.25">
      <c r="A11" s="9"/>
      <c r="B11" s="13"/>
      <c r="C11" s="13"/>
      <c r="D11" s="13"/>
      <c r="E11" s="142" t="s">
        <v>11</v>
      </c>
      <c r="F11" s="142"/>
      <c r="G11" s="142"/>
      <c r="H11" s="142"/>
      <c r="I11" s="14"/>
      <c r="K11" s="145"/>
      <c r="L11" s="145"/>
      <c r="M11" s="145"/>
    </row>
    <row r="12" spans="1:13" x14ac:dyDescent="0.25">
      <c r="A12" s="9" t="s">
        <v>22</v>
      </c>
      <c r="B12" s="13" t="s">
        <v>4</v>
      </c>
      <c r="C12" s="13" t="s">
        <v>26</v>
      </c>
      <c r="D12" s="13" t="s">
        <v>25</v>
      </c>
      <c r="E12" s="13" t="s">
        <v>12</v>
      </c>
      <c r="F12" s="13" t="s">
        <v>173</v>
      </c>
      <c r="G12" s="13" t="s">
        <v>13</v>
      </c>
      <c r="H12" s="13" t="s">
        <v>14</v>
      </c>
      <c r="I12" s="14" t="s">
        <v>15</v>
      </c>
    </row>
    <row r="13" spans="1:13" x14ac:dyDescent="0.25">
      <c r="A13" s="6" t="s">
        <v>169</v>
      </c>
      <c r="B13" s="7">
        <f>+'[1]NAV 21-22 tariff'!$C$54</f>
        <v>0.72460000000000002</v>
      </c>
      <c r="C13" s="29">
        <f>+'[1]NAV 21-22 tariff'!$D$53</f>
        <v>64.150000000000006</v>
      </c>
      <c r="D13" s="29">
        <f>+'[1]NAV 21-22 tariff'!$C$53</f>
        <v>17.900000000000002</v>
      </c>
      <c r="E13" s="7">
        <f>ROUND(-'[1]NAV 21-22 tariff'!$C$59,2)</f>
        <v>-2.6</v>
      </c>
      <c r="F13" s="15">
        <f>ROUND(-'[1]NAV 21-22 tariff'!$D$59,2)-0.01</f>
        <v>-4.87</v>
      </c>
      <c r="G13" s="7">
        <f>ROUND(-'[1]NAV 21-22 tariff'!$C$60,2)</f>
        <v>-1.3</v>
      </c>
      <c r="H13" s="7">
        <f>-'[1]NAV 21-22 tariff'!$C$62</f>
        <v>-2.01E-2</v>
      </c>
      <c r="I13" s="8">
        <f>+H8</f>
        <v>95</v>
      </c>
    </row>
    <row r="14" spans="1:13" x14ac:dyDescent="0.25">
      <c r="A14" s="6" t="s">
        <v>170</v>
      </c>
      <c r="B14" s="7">
        <v>0</v>
      </c>
      <c r="C14" s="7">
        <v>0</v>
      </c>
      <c r="D14" s="7"/>
      <c r="E14" s="7">
        <v>0</v>
      </c>
      <c r="F14" s="7"/>
      <c r="G14" s="7">
        <v>0</v>
      </c>
      <c r="H14" s="7">
        <v>0</v>
      </c>
      <c r="I14" s="8">
        <v>0</v>
      </c>
    </row>
    <row r="15" spans="1:13" ht="15.75" thickBot="1" x14ac:dyDescent="0.3">
      <c r="A15" s="10"/>
      <c r="B15" s="11"/>
      <c r="C15" s="11"/>
      <c r="D15" s="11">
        <f>+D13*1200</f>
        <v>21480.000000000004</v>
      </c>
      <c r="E15" s="11">
        <f>+E13*1200</f>
        <v>-3120</v>
      </c>
      <c r="F15" s="11"/>
      <c r="G15" s="11">
        <f>+G13*1200</f>
        <v>-1560</v>
      </c>
      <c r="H15" s="11"/>
      <c r="I15" s="12"/>
    </row>
    <row r="16" spans="1:13" ht="15.75" thickBot="1" x14ac:dyDescent="0.3"/>
    <row r="17" spans="1:9" x14ac:dyDescent="0.25">
      <c r="A17" s="146" t="s">
        <v>30</v>
      </c>
      <c r="B17" s="147"/>
      <c r="C17" s="147"/>
      <c r="D17" s="147"/>
      <c r="E17" s="147"/>
      <c r="F17" s="147"/>
      <c r="G17" s="147"/>
      <c r="H17" s="147"/>
      <c r="I17" s="148"/>
    </row>
    <row r="18" spans="1:9" x14ac:dyDescent="0.25">
      <c r="A18" s="9"/>
      <c r="B18" s="13"/>
      <c r="C18" s="13"/>
      <c r="D18" s="142" t="s">
        <v>11</v>
      </c>
      <c r="E18" s="142"/>
      <c r="F18" s="142"/>
      <c r="G18" s="142"/>
      <c r="H18" s="13"/>
      <c r="I18" s="8"/>
    </row>
    <row r="19" spans="1:9" x14ac:dyDescent="0.25">
      <c r="A19" s="9" t="s">
        <v>21</v>
      </c>
      <c r="B19" s="13" t="s">
        <v>4</v>
      </c>
      <c r="C19" s="13" t="s">
        <v>5</v>
      </c>
      <c r="D19" s="13" t="s">
        <v>12</v>
      </c>
      <c r="E19" s="13" t="s">
        <v>13</v>
      </c>
      <c r="F19" s="13"/>
      <c r="G19" s="13" t="s">
        <v>14</v>
      </c>
      <c r="H19" s="13"/>
      <c r="I19" s="8"/>
    </row>
    <row r="20" spans="1:9" x14ac:dyDescent="0.25">
      <c r="A20" s="6" t="s">
        <v>169</v>
      </c>
      <c r="B20" s="7">
        <f>+'[1]NAV 21-22 tariff'!$F$13</f>
        <v>1.0613999999999999</v>
      </c>
      <c r="C20" s="16"/>
      <c r="D20" s="7">
        <f>-'[1]NAV 21-22 tariff'!$F$16</f>
        <v>-0.20230000000000001</v>
      </c>
      <c r="E20" s="7">
        <f>-'[1]NAV 21-22 tariff'!$F$17</f>
        <v>-7.5800000000000006E-2</v>
      </c>
      <c r="F20" s="7"/>
      <c r="G20" s="15">
        <f>-'[1]NAV 21-22 tariff'!$F$20</f>
        <v>-2.9600000000000001E-2</v>
      </c>
      <c r="H20" s="7"/>
      <c r="I20" s="8"/>
    </row>
    <row r="21" spans="1:9" x14ac:dyDescent="0.25">
      <c r="A21" s="6" t="s">
        <v>170</v>
      </c>
      <c r="B21" s="7">
        <f>+'[1]NAV 21-22 tariff'!$G$13</f>
        <v>1.3508</v>
      </c>
      <c r="C21" s="16"/>
      <c r="D21" s="7">
        <f>-'[1]NAV 21-22 tariff'!$G$16</f>
        <v>-0.1943</v>
      </c>
      <c r="E21" s="7">
        <f>-'[1]NAV 21-22 tariff'!$G$17</f>
        <v>-7.2800000000000004E-2</v>
      </c>
      <c r="F21" s="7"/>
      <c r="G21" s="15">
        <f>-'[1]NAV 21-22 tariff'!$G$20</f>
        <v>-3.4599999999999999E-2</v>
      </c>
      <c r="H21" s="7"/>
      <c r="I21" s="8"/>
    </row>
    <row r="22" spans="1:9" x14ac:dyDescent="0.25">
      <c r="A22" s="6"/>
      <c r="B22" s="7"/>
      <c r="C22" s="7"/>
      <c r="D22" s="7"/>
      <c r="E22" s="7"/>
      <c r="F22" s="7"/>
      <c r="G22" s="7"/>
      <c r="H22" s="7"/>
      <c r="I22" s="8"/>
    </row>
    <row r="23" spans="1:9" x14ac:dyDescent="0.25">
      <c r="A23" s="9"/>
      <c r="B23" s="13"/>
      <c r="C23" s="13"/>
      <c r="D23" s="13"/>
      <c r="E23" s="142" t="s">
        <v>11</v>
      </c>
      <c r="F23" s="142"/>
      <c r="G23" s="142"/>
      <c r="H23" s="142"/>
      <c r="I23" s="14"/>
    </row>
    <row r="24" spans="1:9" x14ac:dyDescent="0.25">
      <c r="A24" s="9" t="s">
        <v>22</v>
      </c>
      <c r="B24" s="13" t="s">
        <v>4</v>
      </c>
      <c r="C24" s="13" t="s">
        <v>26</v>
      </c>
      <c r="D24" s="13" t="s">
        <v>25</v>
      </c>
      <c r="E24" s="13" t="s">
        <v>12</v>
      </c>
      <c r="F24" s="13"/>
      <c r="G24" s="13" t="s">
        <v>13</v>
      </c>
      <c r="H24" s="13" t="s">
        <v>14</v>
      </c>
      <c r="I24" s="14" t="s">
        <v>15</v>
      </c>
    </row>
    <row r="25" spans="1:9" x14ac:dyDescent="0.25">
      <c r="A25" s="6" t="s">
        <v>169</v>
      </c>
      <c r="B25" s="7">
        <f>+'[1]NAV 21-22 tariff'!$F$54</f>
        <v>1.0354000000000001</v>
      </c>
      <c r="C25" s="16"/>
      <c r="D25" s="16"/>
      <c r="E25" s="7">
        <f>-'[1]NAV 21-22 tariff'!$F$59</f>
        <v>-2.7400000000000001E-2</v>
      </c>
      <c r="F25" s="7"/>
      <c r="G25" s="7">
        <f>-'[1]NAV 21-22 tariff'!$F$60</f>
        <v>-1.37E-2</v>
      </c>
      <c r="H25" s="15">
        <f>-'[1]NAV 21-22 tariff'!$F$62</f>
        <v>-2.87E-2</v>
      </c>
      <c r="I25" s="8"/>
    </row>
    <row r="26" spans="1:9" x14ac:dyDescent="0.25">
      <c r="A26" s="6" t="s">
        <v>170</v>
      </c>
      <c r="B26" s="7">
        <v>0</v>
      </c>
      <c r="C26" s="7">
        <v>0</v>
      </c>
      <c r="D26" s="7">
        <v>0</v>
      </c>
      <c r="E26" s="15">
        <v>0</v>
      </c>
      <c r="F26" s="15"/>
      <c r="G26" s="15">
        <v>0</v>
      </c>
      <c r="H26" s="15">
        <v>0</v>
      </c>
      <c r="I26" s="8">
        <v>0</v>
      </c>
    </row>
    <row r="27" spans="1:9" x14ac:dyDescent="0.25">
      <c r="A27" s="6"/>
      <c r="B27" s="7"/>
      <c r="C27" s="7"/>
      <c r="D27" s="7"/>
      <c r="E27" s="15"/>
      <c r="F27" s="15"/>
      <c r="G27" s="15"/>
      <c r="H27" s="15"/>
      <c r="I27" s="8"/>
    </row>
    <row r="28" spans="1:9" x14ac:dyDescent="0.25">
      <c r="A28" s="9" t="s">
        <v>51</v>
      </c>
      <c r="B28" s="13" t="s">
        <v>52</v>
      </c>
      <c r="C28" s="13" t="s">
        <v>50</v>
      </c>
      <c r="D28" s="7"/>
      <c r="E28" s="15"/>
      <c r="F28" s="15"/>
      <c r="G28" s="15"/>
      <c r="H28" s="15"/>
      <c r="I28" s="8"/>
    </row>
    <row r="29" spans="1:9" x14ac:dyDescent="0.25">
      <c r="A29" s="6" t="s">
        <v>53</v>
      </c>
      <c r="B29" s="29">
        <f>+'[2]NHH Tariffs North'!O84+'[2]NHH Tariffs North'!O101</f>
        <v>93.4</v>
      </c>
      <c r="C29" s="29">
        <f>+'[2]NHH Tariffs North'!O101</f>
        <v>26.2</v>
      </c>
      <c r="D29" s="7"/>
      <c r="E29" s="15"/>
      <c r="F29" s="15"/>
      <c r="G29" s="15"/>
      <c r="H29" s="15"/>
      <c r="I29" s="8"/>
    </row>
    <row r="30" spans="1:9" x14ac:dyDescent="0.25">
      <c r="A30" s="6" t="s">
        <v>54</v>
      </c>
      <c r="B30" s="29">
        <f>+'[2]NHH Tariffs North'!O85+'[2]NHH Tariffs North'!O102</f>
        <v>288</v>
      </c>
      <c r="C30" s="29">
        <f>+'[2]NHH Tariffs North'!O102</f>
        <v>80.8</v>
      </c>
      <c r="D30" s="7"/>
      <c r="E30" s="15"/>
      <c r="F30" s="15"/>
      <c r="G30" s="15"/>
      <c r="H30" s="15"/>
      <c r="I30" s="8"/>
    </row>
    <row r="31" spans="1:9" x14ac:dyDescent="0.25">
      <c r="A31" s="6" t="s">
        <v>55</v>
      </c>
      <c r="B31" s="29">
        <f>+'[2]NHH Tariffs North'!O86+'[2]NHH Tariffs North'!O103</f>
        <v>599.40000000000009</v>
      </c>
      <c r="C31" s="29">
        <f>+'[2]NHH Tariffs North'!O103</f>
        <v>168.2</v>
      </c>
      <c r="D31" s="7"/>
      <c r="E31" s="15"/>
      <c r="F31" s="15"/>
      <c r="G31" s="15"/>
      <c r="H31" s="15"/>
      <c r="I31" s="8"/>
    </row>
    <row r="32" spans="1:9" x14ac:dyDescent="0.25">
      <c r="A32" s="6" t="s">
        <v>56</v>
      </c>
      <c r="B32" s="29">
        <f>+'[2]NHH Tariffs North'!O87+'[2]NHH Tariffs North'!O104</f>
        <v>1066.4000000000001</v>
      </c>
      <c r="C32" s="29">
        <f>+'[2]NHH Tariffs North'!O104</f>
        <v>299.2</v>
      </c>
      <c r="D32" s="7"/>
      <c r="E32" s="15"/>
      <c r="F32" s="15"/>
      <c r="G32" s="15"/>
      <c r="H32" s="15"/>
      <c r="I32" s="8"/>
    </row>
    <row r="33" spans="1:9" x14ac:dyDescent="0.25">
      <c r="A33" s="6" t="s">
        <v>57</v>
      </c>
      <c r="B33" s="29">
        <f>+'[2]NHH Tariffs North'!O88+'[2]NHH Tariffs North'!O105</f>
        <v>1996.5</v>
      </c>
      <c r="C33" s="29">
        <f>+'[2]NHH Tariffs North'!O105</f>
        <v>560.1</v>
      </c>
      <c r="D33" s="7"/>
      <c r="E33" s="15"/>
      <c r="F33" s="15"/>
      <c r="G33" s="15"/>
      <c r="H33" s="15"/>
      <c r="I33" s="8"/>
    </row>
    <row r="34" spans="1:9" x14ac:dyDescent="0.25">
      <c r="A34" s="6" t="s">
        <v>58</v>
      </c>
      <c r="B34" s="29">
        <f>+'[2]NHH Tariffs North'!O89+'[2]NHH Tariffs North'!O106</f>
        <v>3315.7</v>
      </c>
      <c r="C34" s="29">
        <f>+'[2]NHH Tariffs North'!O106</f>
        <v>930.10000000000014</v>
      </c>
      <c r="D34" s="7"/>
      <c r="E34" s="15"/>
      <c r="F34" s="15"/>
      <c r="G34" s="15"/>
      <c r="H34" s="15"/>
      <c r="I34" s="8"/>
    </row>
    <row r="35" spans="1:9" x14ac:dyDescent="0.25">
      <c r="A35" s="6" t="s">
        <v>59</v>
      </c>
      <c r="B35" s="29">
        <f>+'[2]NHH Tariffs North'!O90+'[2]NHH Tariffs North'!O107</f>
        <v>4634.9000000000005</v>
      </c>
      <c r="C35" s="29">
        <f>+'[2]NHH Tariffs North'!O107</f>
        <v>1300.1000000000001</v>
      </c>
      <c r="D35" s="7"/>
      <c r="E35" s="15"/>
      <c r="F35" s="15"/>
      <c r="G35" s="15"/>
      <c r="H35" s="15"/>
      <c r="I35" s="8"/>
    </row>
    <row r="36" spans="1:9" x14ac:dyDescent="0.25">
      <c r="A36" s="6" t="s">
        <v>60</v>
      </c>
      <c r="B36" s="29">
        <f>+'[2]NHH Tariffs North'!O91+'[2]NHH Tariffs North'!O108</f>
        <v>6604.1</v>
      </c>
      <c r="C36" s="29">
        <f>+'[2]NHH Tariffs North'!O108</f>
        <v>1852.5</v>
      </c>
      <c r="D36" s="7"/>
      <c r="E36" s="15"/>
      <c r="F36" s="15"/>
      <c r="G36" s="15"/>
      <c r="H36" s="15"/>
      <c r="I36" s="8"/>
    </row>
    <row r="37" spans="1:9" x14ac:dyDescent="0.25">
      <c r="A37" s="6" t="s">
        <v>61</v>
      </c>
      <c r="B37" s="29">
        <f>+'[2]NHH Tariffs North'!O92+'[2]NHH Tariffs North'!O109</f>
        <v>10507.6</v>
      </c>
      <c r="C37" s="29">
        <f>+'[2]NHH Tariffs North'!O109</f>
        <v>2947.6000000000004</v>
      </c>
      <c r="D37" s="7"/>
      <c r="E37" s="15"/>
      <c r="F37" s="15"/>
      <c r="G37" s="15"/>
      <c r="H37" s="15"/>
      <c r="I37" s="8"/>
    </row>
    <row r="38" spans="1:9" x14ac:dyDescent="0.25">
      <c r="A38" s="6" t="s">
        <v>62</v>
      </c>
      <c r="B38" s="29">
        <f>+'[2]NHH Tariffs North'!O93+'[2]NHH Tariffs North'!O110</f>
        <v>19493.300000000003</v>
      </c>
      <c r="C38" s="29">
        <f>+'[2]NHH Tariffs North'!O110</f>
        <v>5468.1</v>
      </c>
      <c r="D38" s="7"/>
      <c r="E38" s="15"/>
      <c r="F38" s="15"/>
      <c r="G38" s="15"/>
      <c r="H38" s="15"/>
      <c r="I38" s="8"/>
    </row>
    <row r="39" spans="1:9" x14ac:dyDescent="0.25">
      <c r="A39" s="6" t="s">
        <v>63</v>
      </c>
      <c r="B39" s="29">
        <f>+'[2]NHH Tariffs North'!O94+'[2]NHH Tariffs North'!O111</f>
        <v>31962.300000000003</v>
      </c>
      <c r="C39" s="29">
        <f>+'[2]NHH Tariffs North'!O111</f>
        <v>8965.9</v>
      </c>
      <c r="D39" s="7"/>
      <c r="E39" s="15"/>
      <c r="F39" s="15"/>
      <c r="G39" s="15"/>
      <c r="H39" s="15"/>
      <c r="I39" s="8"/>
    </row>
    <row r="40" spans="1:9" x14ac:dyDescent="0.25">
      <c r="A40" s="6" t="s">
        <v>64</v>
      </c>
      <c r="B40" s="29">
        <f>+'[2]NHH Tariffs North'!O95+'[2]NHH Tariffs North'!O112</f>
        <v>44018.7</v>
      </c>
      <c r="C40" s="29">
        <f>+'[2]NHH Tariffs North'!O112</f>
        <v>12347.900000000001</v>
      </c>
      <c r="D40" s="7"/>
      <c r="E40" s="15"/>
      <c r="F40" s="15"/>
      <c r="G40" s="15"/>
      <c r="H40" s="15"/>
      <c r="I40" s="8"/>
    </row>
    <row r="41" spans="1:9" x14ac:dyDescent="0.25">
      <c r="A41" s="6" t="s">
        <v>65</v>
      </c>
      <c r="B41" s="29">
        <f>+'[2]NHH Tariffs North'!O96+'[2]NHH Tariffs North'!O113</f>
        <v>55650.80000000001</v>
      </c>
      <c r="C41" s="29">
        <f>+'[2]NHH Tariffs North'!O113</f>
        <v>15610.800000000001</v>
      </c>
      <c r="D41" s="7"/>
      <c r="E41" s="15"/>
      <c r="F41" s="15"/>
      <c r="G41" s="15"/>
      <c r="H41" s="15"/>
      <c r="I41" s="8"/>
    </row>
    <row r="42" spans="1:9" x14ac:dyDescent="0.25">
      <c r="A42" s="6" t="s">
        <v>66</v>
      </c>
      <c r="B42" s="29">
        <f>+'[2]NHH Tariffs North'!O97+'[2]NHH Tariffs North'!O114</f>
        <v>66504.700000000012</v>
      </c>
      <c r="C42" s="29">
        <f>+'[2]NHH Tariffs North'!O114</f>
        <v>18655.5</v>
      </c>
      <c r="D42" s="7"/>
      <c r="E42" s="15"/>
      <c r="F42" s="15"/>
      <c r="G42" s="15"/>
      <c r="H42" s="15"/>
      <c r="I42" s="8"/>
    </row>
    <row r="43" spans="1:9" x14ac:dyDescent="0.25">
      <c r="A43" s="6" t="s">
        <v>67</v>
      </c>
      <c r="B43" s="29">
        <f>+'[2]NHH Tariffs North'!O98+'[2]NHH Tariffs North'!O115</f>
        <v>82429.3</v>
      </c>
      <c r="C43" s="29">
        <f>+'[2]NHH Tariffs North'!O115</f>
        <v>23122.500000000004</v>
      </c>
      <c r="D43" s="7"/>
      <c r="E43" s="15"/>
      <c r="F43" s="15"/>
      <c r="G43" s="15"/>
      <c r="H43" s="15"/>
      <c r="I43" s="8"/>
    </row>
    <row r="44" spans="1:9" x14ac:dyDescent="0.25">
      <c r="A44" s="6"/>
      <c r="B44" s="29"/>
      <c r="C44" s="7"/>
      <c r="D44" s="7"/>
      <c r="E44" s="15"/>
      <c r="F44" s="15"/>
      <c r="G44" s="15"/>
      <c r="H44" s="15"/>
      <c r="I44" s="8"/>
    </row>
    <row r="45" spans="1:9" x14ac:dyDescent="0.25">
      <c r="A45" s="19" t="s">
        <v>70</v>
      </c>
      <c r="B45" s="34" t="s">
        <v>2</v>
      </c>
      <c r="C45" s="13" t="s">
        <v>3</v>
      </c>
      <c r="D45" s="7"/>
      <c r="E45" s="15"/>
      <c r="F45" s="15"/>
      <c r="G45" s="15"/>
      <c r="H45" s="15"/>
      <c r="I45" s="8"/>
    </row>
    <row r="46" spans="1:9" x14ac:dyDescent="0.25">
      <c r="A46" t="s">
        <v>71</v>
      </c>
      <c r="B46" s="29">
        <f>+'[2]NHH Tariffs North'!O42</f>
        <v>20.200000000000003</v>
      </c>
      <c r="C46" s="29">
        <f>+'[2]NHH Tariffs South'!O40</f>
        <v>20.200000000000003</v>
      </c>
      <c r="D46" s="7"/>
      <c r="E46" s="15"/>
      <c r="F46" s="15"/>
      <c r="G46" s="15"/>
      <c r="H46" s="15"/>
      <c r="I46" s="8"/>
    </row>
    <row r="47" spans="1:9" x14ac:dyDescent="0.25">
      <c r="A47" t="s">
        <v>72</v>
      </c>
      <c r="B47" s="29">
        <f>+'[2]NHH Tariffs North'!O43</f>
        <v>33.700000000000003</v>
      </c>
      <c r="C47" s="29">
        <f>+'[2]NHH Tariffs South'!O41</f>
        <v>33.700000000000003</v>
      </c>
      <c r="D47" s="7"/>
      <c r="E47" s="15"/>
      <c r="F47" s="15"/>
      <c r="G47" s="15"/>
      <c r="H47" s="15"/>
      <c r="I47" s="8"/>
    </row>
    <row r="48" spans="1:9" x14ac:dyDescent="0.25">
      <c r="A48" t="s">
        <v>73</v>
      </c>
      <c r="B48" s="29">
        <f>+'[2]NHH Tariffs North'!O44</f>
        <v>50.552000000000007</v>
      </c>
      <c r="C48" s="29">
        <f>+'[2]NHH Tariffs South'!O42</f>
        <v>50.552000000000007</v>
      </c>
      <c r="D48" s="7"/>
      <c r="E48" s="15"/>
      <c r="F48" s="15"/>
      <c r="G48" s="15"/>
      <c r="H48" s="15"/>
      <c r="I48" s="8"/>
    </row>
    <row r="49" spans="1:9" x14ac:dyDescent="0.25">
      <c r="A49" t="s">
        <v>74</v>
      </c>
      <c r="B49" s="29">
        <f>+'[2]NHH Tariffs North'!O45</f>
        <v>67.333000000000013</v>
      </c>
      <c r="C49" s="29">
        <f>+'[2]NHH Tariffs South'!O43</f>
        <v>67.333000000000013</v>
      </c>
      <c r="D49" s="7"/>
      <c r="E49" s="15"/>
      <c r="F49" s="15"/>
      <c r="G49" s="15"/>
      <c r="H49" s="15"/>
      <c r="I49" s="8"/>
    </row>
    <row r="50" spans="1:9" x14ac:dyDescent="0.25">
      <c r="A50" t="s">
        <v>75</v>
      </c>
      <c r="B50" s="29">
        <f>+'[2]NHH Tariffs North'!O46</f>
        <v>168.333</v>
      </c>
      <c r="C50" s="29">
        <f>+'[2]NHH Tariffs South'!O44</f>
        <v>168.333</v>
      </c>
      <c r="D50" s="7"/>
      <c r="E50" s="15"/>
      <c r="F50" s="15"/>
      <c r="G50" s="15"/>
      <c r="H50" s="15"/>
      <c r="I50" s="8"/>
    </row>
    <row r="51" spans="1:9" x14ac:dyDescent="0.25">
      <c r="A51" t="s">
        <v>76</v>
      </c>
      <c r="B51" s="29">
        <f>+'[2]NHH Tariffs North'!O47</f>
        <v>505</v>
      </c>
      <c r="C51" s="29">
        <f>+'[2]NHH Tariffs South'!O45</f>
        <v>505</v>
      </c>
      <c r="D51" s="7"/>
      <c r="E51" s="15"/>
      <c r="F51" s="15"/>
      <c r="G51" s="15"/>
      <c r="H51" s="15"/>
      <c r="I51" s="8"/>
    </row>
    <row r="52" spans="1:9" x14ac:dyDescent="0.25">
      <c r="A52" s="6"/>
      <c r="B52" s="7"/>
      <c r="C52" s="7"/>
      <c r="D52" s="7"/>
      <c r="E52" s="15"/>
      <c r="F52" s="15"/>
      <c r="G52" s="15"/>
      <c r="H52" s="15"/>
      <c r="I52" s="8"/>
    </row>
    <row r="53" spans="1:9" ht="15.75" thickBot="1" x14ac:dyDescent="0.3">
      <c r="A53" s="10"/>
      <c r="B53" s="11"/>
      <c r="C53" s="11"/>
      <c r="D53" s="11"/>
      <c r="E53" s="11"/>
      <c r="F53" s="11"/>
      <c r="G53" s="11"/>
      <c r="H53" s="11"/>
      <c r="I53" s="12"/>
    </row>
    <row r="54" spans="1:9" x14ac:dyDescent="0.25">
      <c r="A54" s="48" t="s">
        <v>84</v>
      </c>
      <c r="B54" s="49"/>
      <c r="C54" s="49"/>
      <c r="D54" s="49"/>
      <c r="E54" s="49"/>
      <c r="F54" s="49"/>
      <c r="G54" s="49"/>
      <c r="H54" s="49"/>
      <c r="I54" s="50"/>
    </row>
    <row r="55" spans="1:9" x14ac:dyDescent="0.25">
      <c r="A55" s="6" t="s">
        <v>21</v>
      </c>
      <c r="B55" s="13" t="s">
        <v>79</v>
      </c>
      <c r="C55" s="13" t="s">
        <v>80</v>
      </c>
      <c r="D55" s="13" t="s">
        <v>81</v>
      </c>
      <c r="E55" s="7"/>
      <c r="F55" s="7"/>
      <c r="G55" s="7"/>
      <c r="H55" s="7"/>
      <c r="I55" s="8"/>
    </row>
    <row r="56" spans="1:9" x14ac:dyDescent="0.25">
      <c r="A56" s="6" t="s">
        <v>169</v>
      </c>
      <c r="B56" s="66">
        <v>101</v>
      </c>
      <c r="C56" s="66">
        <v>-422</v>
      </c>
      <c r="D56" s="66">
        <v>185</v>
      </c>
      <c r="E56" s="7"/>
      <c r="F56" s="7"/>
      <c r="G56" s="7"/>
      <c r="H56" s="7"/>
      <c r="I56" s="8"/>
    </row>
    <row r="57" spans="1:9" x14ac:dyDescent="0.25">
      <c r="A57" s="6" t="s">
        <v>170</v>
      </c>
      <c r="B57" s="66">
        <v>101</v>
      </c>
      <c r="C57" s="66">
        <v>-487</v>
      </c>
      <c r="D57" s="66">
        <v>240</v>
      </c>
      <c r="E57" s="7"/>
      <c r="F57" s="7"/>
      <c r="G57" s="7"/>
      <c r="H57" s="7"/>
      <c r="I57" s="8"/>
    </row>
    <row r="58" spans="1:9" x14ac:dyDescent="0.25">
      <c r="A58" s="6" t="s">
        <v>22</v>
      </c>
      <c r="B58" s="7"/>
      <c r="C58" s="7"/>
      <c r="D58" s="7"/>
      <c r="E58" s="7"/>
      <c r="F58" s="7"/>
      <c r="G58" s="7"/>
      <c r="H58" s="7"/>
      <c r="I58" s="8"/>
    </row>
    <row r="59" spans="1:9" x14ac:dyDescent="0.25">
      <c r="A59" s="6" t="s">
        <v>169</v>
      </c>
      <c r="B59" s="7"/>
      <c r="C59" s="7"/>
      <c r="D59" s="66">
        <v>335</v>
      </c>
      <c r="E59" s="7"/>
      <c r="F59" s="7"/>
      <c r="G59" s="7"/>
      <c r="H59" s="7"/>
      <c r="I59" s="8"/>
    </row>
    <row r="60" spans="1:9" x14ac:dyDescent="0.25">
      <c r="A60" s="6" t="s">
        <v>170</v>
      </c>
      <c r="B60" s="7"/>
      <c r="C60" s="7"/>
      <c r="D60" s="7">
        <v>0</v>
      </c>
      <c r="E60" s="7"/>
      <c r="F60" s="7"/>
      <c r="G60" s="7"/>
      <c r="H60" s="7"/>
      <c r="I60" s="8"/>
    </row>
    <row r="61" spans="1:9" ht="15.75" thickBot="1" x14ac:dyDescent="0.3">
      <c r="A61" s="10"/>
      <c r="B61" s="11"/>
      <c r="C61" s="11"/>
      <c r="D61" s="11"/>
      <c r="E61" s="11"/>
      <c r="F61" s="11"/>
      <c r="G61" s="11"/>
      <c r="H61" s="11"/>
      <c r="I61" s="12"/>
    </row>
  </sheetData>
  <mergeCells count="7">
    <mergeCell ref="E23:H23"/>
    <mergeCell ref="D6:G6"/>
    <mergeCell ref="K11:M11"/>
    <mergeCell ref="E11:H11"/>
    <mergeCell ref="A5:I5"/>
    <mergeCell ref="A17:I17"/>
    <mergeCell ref="D18:G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Input Site Information</vt:lpstr>
      <vt:lpstr>Indicative Charges</vt:lpstr>
      <vt:lpstr>Sheet3</vt:lpstr>
      <vt:lpstr>Post April 2018 - Water</vt:lpstr>
      <vt:lpstr>Post April 2018 - Sewerage</vt:lpstr>
      <vt:lpstr>Tariffs</vt:lpstr>
    </vt:vector>
  </TitlesOfParts>
  <Company>NWL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Welsh</dc:creator>
  <cp:lastModifiedBy>Mark Charlton</cp:lastModifiedBy>
  <dcterms:created xsi:type="dcterms:W3CDTF">2019-08-13T06:50:06Z</dcterms:created>
  <dcterms:modified xsi:type="dcterms:W3CDTF">2021-02-09T14:32:29Z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